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90" windowHeight="8195" tabRatio="500" activeTab="6"/>
  </bookViews>
  <sheets>
    <sheet name="Inverno 1" sheetId="1" r:id="rId1"/>
    <sheet name="Inverno 2" sheetId="2" r:id="rId2"/>
    <sheet name="Inverno 3" sheetId="3" r:id="rId3"/>
    <sheet name="Inverno dic22" sheetId="4" r:id="rId4"/>
    <sheet name="Inverno Verifica" sheetId="5" r:id="rId5"/>
    <sheet name="Estivo primaria" sheetId="6" r:id="rId6"/>
    <sheet name="Estivo primaria (2)" sheetId="7" r:id="rId7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5" i="7"/>
  <c r="B64"/>
  <c r="B68" s="1"/>
  <c r="B63"/>
  <c r="B68" i="6"/>
  <c r="E65"/>
  <c r="B24"/>
  <c r="B21"/>
  <c r="B39" i="7"/>
  <c r="B42"/>
  <c r="B20"/>
  <c r="B22" s="1"/>
  <c r="B13"/>
  <c r="B28" s="1"/>
  <c r="B34" s="1"/>
  <c r="B12"/>
  <c r="B27" s="1"/>
  <c r="B29" s="1"/>
  <c r="B7"/>
  <c r="B8" s="1"/>
  <c r="B9" s="1"/>
  <c r="E6"/>
  <c r="G5"/>
  <c r="B64" i="6"/>
  <c r="B63"/>
  <c r="B28"/>
  <c r="B34" s="1"/>
  <c r="B35" s="1"/>
  <c r="B38"/>
  <c r="B42" s="1"/>
  <c r="B20"/>
  <c r="B22" s="1"/>
  <c r="B13"/>
  <c r="B12"/>
  <c r="B27" s="1"/>
  <c r="B7"/>
  <c r="B8" s="1"/>
  <c r="B9" s="1"/>
  <c r="E6"/>
  <c r="B39" s="1"/>
  <c r="G5"/>
  <c r="B63" i="5"/>
  <c r="B66" s="1"/>
  <c r="B45"/>
  <c r="D44"/>
  <c r="F44" s="1"/>
  <c r="H44" s="1"/>
  <c r="B39"/>
  <c r="B31"/>
  <c r="B20"/>
  <c r="B21" s="1"/>
  <c r="B13"/>
  <c r="B12"/>
  <c r="B26" s="1"/>
  <c r="E11"/>
  <c r="B11"/>
  <c r="B25" s="1"/>
  <c r="G10"/>
  <c r="E10"/>
  <c r="B8"/>
  <c r="B9" s="1"/>
  <c r="B7"/>
  <c r="E6"/>
  <c r="G5"/>
  <c r="B66" i="4"/>
  <c r="B63"/>
  <c r="B46"/>
  <c r="B45"/>
  <c r="H44"/>
  <c r="F44"/>
  <c r="D44"/>
  <c r="B31"/>
  <c r="B39" s="1"/>
  <c r="B26"/>
  <c r="B25"/>
  <c r="B27" s="1"/>
  <c r="B22"/>
  <c r="B21"/>
  <c r="B20"/>
  <c r="B13"/>
  <c r="B12" s="1"/>
  <c r="B11"/>
  <c r="E8"/>
  <c r="G8" s="1"/>
  <c r="B8"/>
  <c r="B9" s="1"/>
  <c r="B7"/>
  <c r="G5"/>
  <c r="B45" i="3"/>
  <c r="B44"/>
  <c r="H43"/>
  <c r="F43"/>
  <c r="D43"/>
  <c r="B31"/>
  <c r="B38" s="1"/>
  <c r="B28"/>
  <c r="B27"/>
  <c r="B26"/>
  <c r="B25"/>
  <c r="B33" s="1"/>
  <c r="B48" s="1"/>
  <c r="B22"/>
  <c r="B21"/>
  <c r="B20"/>
  <c r="B13"/>
  <c r="G8"/>
  <c r="E8"/>
  <c r="E9" s="1"/>
  <c r="E10" s="1"/>
  <c r="B7"/>
  <c r="B8" s="1"/>
  <c r="G5"/>
  <c r="B45" i="2"/>
  <c r="H44"/>
  <c r="B46" s="1"/>
  <c r="F44"/>
  <c r="D44"/>
  <c r="B39"/>
  <c r="B34"/>
  <c r="B49" s="1"/>
  <c r="B31"/>
  <c r="B25"/>
  <c r="B28" s="1"/>
  <c r="B22"/>
  <c r="B21"/>
  <c r="B20"/>
  <c r="B13"/>
  <c r="B26" s="1"/>
  <c r="B27" s="1"/>
  <c r="B35" s="1"/>
  <c r="B36" s="1"/>
  <c r="B37" s="1"/>
  <c r="E9"/>
  <c r="B9"/>
  <c r="G8"/>
  <c r="E8"/>
  <c r="B8"/>
  <c r="B71" s="1"/>
  <c r="B74" s="1"/>
  <c r="B7"/>
  <c r="G5"/>
  <c r="B63" i="1"/>
  <c r="B66" s="1"/>
  <c r="B45"/>
  <c r="B46" s="1"/>
  <c r="D44"/>
  <c r="F44" s="1"/>
  <c r="H44" s="1"/>
  <c r="B39"/>
  <c r="B31"/>
  <c r="B25"/>
  <c r="B27" s="1"/>
  <c r="B20"/>
  <c r="B21" s="1"/>
  <c r="B13"/>
  <c r="B26" s="1"/>
  <c r="B28" s="1"/>
  <c r="E9"/>
  <c r="B9"/>
  <c r="G8"/>
  <c r="E8"/>
  <c r="B8"/>
  <c r="B7"/>
  <c r="G5"/>
  <c r="B21" i="7" l="1"/>
  <c r="B24" s="1"/>
  <c r="B35"/>
  <c r="B36" s="1"/>
  <c r="B40" s="1"/>
  <c r="B23"/>
  <c r="B30"/>
  <c r="B30" i="6"/>
  <c r="B36"/>
  <c r="B40" s="1"/>
  <c r="B22" i="5"/>
  <c r="B62" i="3"/>
  <c r="B9"/>
  <c r="B23" i="6"/>
  <c r="B29"/>
  <c r="B51" i="2"/>
  <c r="B50"/>
  <c r="B22" i="1"/>
  <c r="B55" i="2"/>
  <c r="B34" i="3"/>
  <c r="E11"/>
  <c r="B34" i="5"/>
  <c r="B27"/>
  <c r="B28"/>
  <c r="B50" i="3"/>
  <c r="B53" s="1"/>
  <c r="B56" s="1"/>
  <c r="B49"/>
  <c r="B38" i="2"/>
  <c r="B63"/>
  <c r="B40"/>
  <c r="B41" s="1"/>
  <c r="B35" i="3"/>
  <c r="B36" s="1"/>
  <c r="B73" s="1"/>
  <c r="D73" s="1"/>
  <c r="B46" i="5"/>
  <c r="E10" i="2"/>
  <c r="E11" s="1"/>
  <c r="B34" i="1"/>
  <c r="B35" s="1"/>
  <c r="B61" i="3"/>
  <c r="B64" s="1"/>
  <c r="E9" i="4"/>
  <c r="B34"/>
  <c r="B49" s="1"/>
  <c r="B28"/>
  <c r="B41" i="7" l="1"/>
  <c r="B43"/>
  <c r="B44" s="1"/>
  <c r="B47"/>
  <c r="B50" i="4"/>
  <c r="B51" s="1"/>
  <c r="B65" i="3"/>
  <c r="B66" s="1"/>
  <c r="B63"/>
  <c r="B70" s="1"/>
  <c r="B36" i="5"/>
  <c r="B55" i="3"/>
  <c r="B57" s="1"/>
  <c r="B58" s="1"/>
  <c r="B54"/>
  <c r="B64" i="2"/>
  <c r="B41" i="6"/>
  <c r="B47"/>
  <c r="B43"/>
  <c r="B44" s="1"/>
  <c r="B35" i="4"/>
  <c r="B36" s="1"/>
  <c r="B56" i="2"/>
  <c r="B58" s="1"/>
  <c r="B54"/>
  <c r="B57" s="1"/>
  <c r="B37" i="3"/>
  <c r="B39"/>
  <c r="B40" s="1"/>
  <c r="B88" i="2"/>
  <c r="D88" s="1"/>
  <c r="B49" i="5"/>
  <c r="E12"/>
  <c r="E13" s="1"/>
  <c r="B49" i="1"/>
  <c r="E10"/>
  <c r="E11" s="1"/>
  <c r="E10" i="4"/>
  <c r="E11" s="1"/>
  <c r="B35" i="5"/>
  <c r="B36" i="1"/>
  <c r="B49" i="7" l="1"/>
  <c r="B58"/>
  <c r="B59" s="1"/>
  <c r="B54" i="4"/>
  <c r="B57" s="1"/>
  <c r="B56"/>
  <c r="B58" s="1"/>
  <c r="B55"/>
  <c r="B50" i="1"/>
  <c r="B51" s="1"/>
  <c r="B62" i="5"/>
  <c r="B64" s="1"/>
  <c r="B65" s="1"/>
  <c r="B67" s="1"/>
  <c r="B37"/>
  <c r="B50"/>
  <c r="B51"/>
  <c r="B49" i="6"/>
  <c r="B58"/>
  <c r="B59" s="1"/>
  <c r="B65" i="2"/>
  <c r="B66"/>
  <c r="B67" s="1"/>
  <c r="B37" i="1"/>
  <c r="B62"/>
  <c r="B64" s="1"/>
  <c r="B65" s="1"/>
  <c r="B67" s="1"/>
  <c r="B37" i="4"/>
  <c r="B62"/>
  <c r="B59" i="2"/>
  <c r="B50" i="7" l="1"/>
  <c r="B51"/>
  <c r="B54" i="1"/>
  <c r="B57" s="1"/>
  <c r="B56"/>
  <c r="B58" s="1"/>
  <c r="B55"/>
  <c r="B70" i="2"/>
  <c r="B82"/>
  <c r="B38" i="4"/>
  <c r="B40"/>
  <c r="B41" s="1"/>
  <c r="B74"/>
  <c r="D74" s="1"/>
  <c r="B40" i="1"/>
  <c r="B41" s="1"/>
  <c r="B38"/>
  <c r="B54" i="5"/>
  <c r="B57" s="1"/>
  <c r="B56"/>
  <c r="B58" s="1"/>
  <c r="B55"/>
  <c r="B71" i="1"/>
  <c r="B50" i="6"/>
  <c r="B51"/>
  <c r="B59" i="4"/>
  <c r="B74" i="1"/>
  <c r="D74" s="1"/>
  <c r="B71" i="5"/>
  <c r="B64" i="4"/>
  <c r="B65" s="1"/>
  <c r="B67" s="1"/>
  <c r="B71"/>
  <c r="B40" i="5"/>
  <c r="B41" s="1"/>
  <c r="B38"/>
  <c r="B74"/>
  <c r="D74" s="1"/>
  <c r="B52" i="7" l="1"/>
  <c r="B55"/>
  <c r="B72" i="2"/>
  <c r="B73" s="1"/>
  <c r="B75" s="1"/>
  <c r="B79"/>
  <c r="B85" s="1"/>
  <c r="B59" i="1"/>
  <c r="B59" i="5"/>
  <c r="B52" i="6"/>
  <c r="B55"/>
</calcChain>
</file>

<file path=xl/sharedStrings.xml><?xml version="1.0" encoding="utf-8"?>
<sst xmlns="http://schemas.openxmlformats.org/spreadsheetml/2006/main" count="982" uniqueCount="181">
  <si>
    <t>ESERCIZIO CLIMATIZZAZIONE INVERNALE 1</t>
  </si>
  <si>
    <t>IMPIANTO DI CLIMATIZZAZIONE INVERNALE SENZA RICIRCOLO</t>
  </si>
  <si>
    <t>CITTA' XXX</t>
  </si>
  <si>
    <t>Num. Persone</t>
  </si>
  <si>
    <t xml:space="preserve"> attività moderata</t>
  </si>
  <si>
    <t>TE</t>
  </si>
  <si>
    <t>°C</t>
  </si>
  <si>
    <t>Port. Rinnovo</t>
  </si>
  <si>
    <t>l/s</t>
  </si>
  <si>
    <t>m3/h</t>
  </si>
  <si>
    <t>UR%E</t>
  </si>
  <si>
    <t>%</t>
  </si>
  <si>
    <t>Qp lat</t>
  </si>
  <si>
    <t>w</t>
  </si>
  <si>
    <t>pv sat E</t>
  </si>
  <si>
    <t>Pa</t>
  </si>
  <si>
    <t xml:space="preserve">Trovo mvap dalla  Q lat. = mvap* hv = mvap*( 2500 + 1,9 T)   [Kw] </t>
  </si>
  <si>
    <t>wE</t>
  </si>
  <si>
    <t>kg/kg as</t>
  </si>
  <si>
    <t>m vap.</t>
  </si>
  <si>
    <t>Kg vap/s</t>
  </si>
  <si>
    <t>g / h</t>
  </si>
  <si>
    <t>hE</t>
  </si>
  <si>
    <t>kJ/kg</t>
  </si>
  <si>
    <t>m vap. tot.</t>
  </si>
  <si>
    <t xml:space="preserve">ΔwAI </t>
  </si>
  <si>
    <t>Δw = m vap. / m as</t>
  </si>
  <si>
    <t>Calore sensibile</t>
  </si>
  <si>
    <t>wI</t>
  </si>
  <si>
    <t>wI= wA-Δw</t>
  </si>
  <si>
    <t>FC</t>
  </si>
  <si>
    <t>Calore latente</t>
  </si>
  <si>
    <t>SOLUZIONE ANALITICA</t>
  </si>
  <si>
    <t>Fisso dati ambiente da climatizzare</t>
  </si>
  <si>
    <t>TA</t>
  </si>
  <si>
    <t>UR%A</t>
  </si>
  <si>
    <t>UR= pv/ps *100  %</t>
  </si>
  <si>
    <t>psat A</t>
  </si>
  <si>
    <t xml:space="preserve">Pa   </t>
  </si>
  <si>
    <t>pv sat = 0,0496965*T^3+0,979515*T^2+46,9035*T+609,484</t>
  </si>
  <si>
    <t>wA</t>
  </si>
  <si>
    <t xml:space="preserve">Kgv/Kg as    </t>
  </si>
  <si>
    <t>w = 0,622 * pv / (p-pv) = 0,622* UR*ps/100 / (p-UR*ps/100)</t>
  </si>
  <si>
    <t>hA</t>
  </si>
  <si>
    <t>h = 1,006*T+w*(2500+1,9*T)     [Kj]</t>
  </si>
  <si>
    <t>Calcolo fattore di carico</t>
  </si>
  <si>
    <t>Qs</t>
  </si>
  <si>
    <t>Ql</t>
  </si>
  <si>
    <t>Qtotale</t>
  </si>
  <si>
    <t>F. carico</t>
  </si>
  <si>
    <r>
      <rPr>
        <sz val="11"/>
        <color rgb="FF000000"/>
        <rFont val="Calibri"/>
        <family val="2"/>
        <charset val="1"/>
      </rPr>
      <t xml:space="preserve">Assumo </t>
    </r>
    <r>
      <rPr>
        <b/>
        <sz val="11"/>
        <color rgb="FFFF0000"/>
        <rFont val="Calibri"/>
        <family val="2"/>
        <charset val="1"/>
      </rPr>
      <t>ΔT</t>
    </r>
    <r>
      <rPr>
        <sz val="11"/>
        <color rgb="FF000000"/>
        <rFont val="Calibri"/>
        <family val="2"/>
        <charset val="1"/>
      </rPr>
      <t xml:space="preserve"> immissione</t>
    </r>
  </si>
  <si>
    <r>
      <rPr>
        <sz val="11"/>
        <color rgb="FF000000"/>
        <rFont val="Calibri"/>
        <family val="2"/>
        <charset val="1"/>
      </rPr>
      <t>T</t>
    </r>
    <r>
      <rPr>
        <sz val="8"/>
        <color rgb="FF000000"/>
        <rFont val="Calibri"/>
        <family val="2"/>
        <charset val="1"/>
      </rPr>
      <t>I</t>
    </r>
  </si>
  <si>
    <t>Trovo la portata immissione</t>
  </si>
  <si>
    <t>ma tot.</t>
  </si>
  <si>
    <t>Kg/s</t>
  </si>
  <si>
    <t>Qs totale = m Ct (Ta-Ti)  [w]  con   Ct aria= 1006 j/kg k</t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</si>
  <si>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charset val="1"/>
      </rPr>
      <t>h</t>
    </r>
    <r>
      <rPr>
        <sz val="9"/>
        <color rgb="FF000000"/>
        <rFont val="Calibri"/>
        <family val="2"/>
        <charset val="1"/>
      </rPr>
      <t>AI</t>
    </r>
    <r>
      <rPr>
        <sz val="11"/>
        <color rgb="FF000000"/>
        <rFont val="Calibri"/>
        <family val="2"/>
        <charset val="1"/>
      </rPr>
      <t>= Qtot / ma</t>
    </r>
  </si>
  <si>
    <r>
      <rPr>
        <i/>
        <sz val="11"/>
        <color rgb="FFFF0000"/>
        <rFont val="Calibri"/>
        <family val="2"/>
        <charset val="1"/>
      </rP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charset val="1"/>
      </rPr>
      <t>h</t>
    </r>
    <r>
      <rPr>
        <i/>
        <sz val="8"/>
        <color rgb="FFFF0000"/>
        <rFont val="Calibri"/>
        <family val="2"/>
        <charset val="1"/>
      </rPr>
      <t>AI</t>
    </r>
  </si>
  <si>
    <t>hI</t>
  </si>
  <si>
    <r>
      <rPr>
        <i/>
        <sz val="11"/>
        <color rgb="FFFF0000"/>
        <rFont val="Calibri"/>
        <family val="2"/>
        <charset val="1"/>
      </rPr>
      <t>h</t>
    </r>
    <r>
      <rPr>
        <i/>
        <sz val="9"/>
        <color rgb="FFFF0000"/>
        <rFont val="Calibri"/>
        <family val="2"/>
        <charset val="1"/>
      </rPr>
      <t>I</t>
    </r>
    <r>
      <rPr>
        <i/>
        <sz val="11"/>
        <color rgb="FFFF0000"/>
        <rFont val="Calibri"/>
        <family val="2"/>
        <charset val="1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charset val="1"/>
      </rPr>
      <t>h</t>
    </r>
  </si>
  <si>
    <t>Kg/Kg as</t>
  </si>
  <si>
    <t>KJ/kg</t>
  </si>
  <si>
    <t>h = (1,006+1,9*w) *T + 2501*w    [kJ/kg]</t>
  </si>
  <si>
    <t>pv sat I</t>
  </si>
  <si>
    <t>pv I</t>
  </si>
  <si>
    <t xml:space="preserve">Pa       </t>
  </si>
  <si>
    <t>pv = p * w / (0,622+ w)</t>
  </si>
  <si>
    <t>UR% I = pv / psat *100</t>
  </si>
  <si>
    <t>UR% = pv / psat *100</t>
  </si>
  <si>
    <t>Ricambio minimo aria</t>
  </si>
  <si>
    <t>A persona</t>
  </si>
  <si>
    <t>Kg/h</t>
  </si>
  <si>
    <t>N. persone</t>
  </si>
  <si>
    <t>m rinn. MINIMA</t>
  </si>
  <si>
    <t>kg/s</t>
  </si>
  <si>
    <t>Miscelazione rinnovo / ricircolo</t>
  </si>
  <si>
    <t>m tot</t>
  </si>
  <si>
    <t>m ric. 0%</t>
  </si>
  <si>
    <t>m rinnovo 100%</t>
  </si>
  <si>
    <t>kg/s  --&gt; minimo garantito OK</t>
  </si>
  <si>
    <t>Punto di miscelazione M fra aria rinnovo E e aria ricircolo A</t>
  </si>
  <si>
    <t>TM misc</t>
  </si>
  <si>
    <t>hM misc</t>
  </si>
  <si>
    <t>wM misc</t>
  </si>
  <si>
    <t>kg v / kg as</t>
  </si>
  <si>
    <t>pv M</t>
  </si>
  <si>
    <t>UR = pv / psat *100</t>
  </si>
  <si>
    <t>Temperatura uscita batteria calda 1</t>
  </si>
  <si>
    <t>h1=hI</t>
  </si>
  <si>
    <t>w1=wE</t>
  </si>
  <si>
    <t>T1</t>
  </si>
  <si>
    <t>pv sat F</t>
  </si>
  <si>
    <t>pv F</t>
  </si>
  <si>
    <t>UR F = pv / psat *100</t>
  </si>
  <si>
    <t>Potenza batteria di riscaldamento fra E--&gt;I</t>
  </si>
  <si>
    <t>P c= m * (h1 - hE) =</t>
  </si>
  <si>
    <t>Kw</t>
  </si>
  <si>
    <t>Portata acqua umidificatore fra 1--&gt;I</t>
  </si>
  <si>
    <t>m H2O =</t>
  </si>
  <si>
    <t>ESERCIZIO CLIMATIZZAZIONE INVERNALE 2</t>
  </si>
  <si>
    <r>
      <rPr>
        <sz val="11"/>
        <color rgb="FF000000"/>
        <rFont val="Calibri"/>
        <family val="2"/>
        <charset val="1"/>
      </rPr>
      <t xml:space="preserve">Assumo </t>
    </r>
    <r>
      <rPr>
        <b/>
        <sz val="11"/>
        <color rgb="FFFF0000"/>
        <rFont val="Calibri"/>
        <family val="2"/>
        <charset val="1"/>
      </rPr>
      <t>ΔT</t>
    </r>
    <r>
      <rPr>
        <sz val="11"/>
        <color rgb="FF000000"/>
        <rFont val="Calibri"/>
        <family val="2"/>
        <charset val="1"/>
      </rPr>
      <t xml:space="preserve"> immissione di 7°C:</t>
    </r>
  </si>
  <si>
    <t>pv = patm * w / (0,622+ w)</t>
  </si>
  <si>
    <t>Punto 2 uscita umidificatore</t>
  </si>
  <si>
    <t>UR2</t>
  </si>
  <si>
    <t>saturazione</t>
  </si>
  <si>
    <t>w2=wI</t>
  </si>
  <si>
    <t>pv2</t>
  </si>
  <si>
    <t>pvs 2 = pv2</t>
  </si>
  <si>
    <t>T2=TrI</t>
  </si>
  <si>
    <t>Tsat=Tr=237,3*ln(pv/610,5)/(17,269-ln(pv/610,5))</t>
  </si>
  <si>
    <t>h2</t>
  </si>
  <si>
    <t>Temperatura uscita batteria calda 1''</t>
  </si>
  <si>
    <t>h1''=h2</t>
  </si>
  <si>
    <t>w1''=wE</t>
  </si>
  <si>
    <t>T1''</t>
  </si>
  <si>
    <t>Potenza batteria di riscaldamento fra E--&gt;1''</t>
  </si>
  <si>
    <t>Pc1 = m * (h1 - hE) =</t>
  </si>
  <si>
    <t>Potenza batteria di riscaldamento fra I--&gt;2</t>
  </si>
  <si>
    <t>Pc2 = m * (h1 - hE) =</t>
  </si>
  <si>
    <t>Potenza totale batterie di riscaldamento</t>
  </si>
  <si>
    <t>Ptot=Pc1+Pc2</t>
  </si>
  <si>
    <t>NB: è la stessa del caso 1 ma ottenuta con Tmandata del generatore di calore più basse</t>
  </si>
  <si>
    <t>Portata acqua umidificatore fra 1''--&gt;2</t>
  </si>
  <si>
    <t>ESERCIZIO CLIMATIZZAZIONE INVERNALE 3</t>
  </si>
  <si>
    <t>Temperatura uscita batteria calda 1'</t>
  </si>
  <si>
    <t>T1'=TI</t>
  </si>
  <si>
    <t>h1'</t>
  </si>
  <si>
    <t>Potenza batteria di riscaldamento fra E--&gt;I'</t>
  </si>
  <si>
    <t>Portata vapore umidificatore fra 1--&gt;I'</t>
  </si>
  <si>
    <t>VERIFICA CLIMATIZZAZIONE INVERNALE 1</t>
  </si>
  <si>
    <t>Port. rinnovo</t>
  </si>
  <si>
    <t>Port. Tot</t>
  </si>
  <si>
    <t>Qp sens</t>
  </si>
  <si>
    <t>Calore sensibile tot</t>
  </si>
  <si>
    <t>Calore latente tot</t>
  </si>
  <si>
    <t>ESERCIZIO CLIMATIZZAZIONE ESTIVA ARIA PRIMARIA</t>
  </si>
  <si>
    <t>IMPIANTO DI CLIMATIZZAZIONE ESTIVO UFFICI</t>
  </si>
  <si>
    <t>Roma</t>
  </si>
  <si>
    <t xml:space="preserve"> attività moderata da seduti uffici</t>
  </si>
  <si>
    <t>URE</t>
  </si>
  <si>
    <t>Calore sensibile locali</t>
  </si>
  <si>
    <t>Calore sensibile persone</t>
  </si>
  <si>
    <t>Calore latente persone</t>
  </si>
  <si>
    <t>URA</t>
  </si>
  <si>
    <t>h = 1,006*T+w*(2501+1,9*T)     [Kj]</t>
  </si>
  <si>
    <t>Qs tot</t>
  </si>
  <si>
    <t>Ql tot</t>
  </si>
  <si>
    <t>UR I = pv / psat *100</t>
  </si>
  <si>
    <t>Temperatura Batteria fredda</t>
  </si>
  <si>
    <t>wF=wI</t>
  </si>
  <si>
    <t>UR F</t>
  </si>
  <si>
    <t>TF</t>
  </si>
  <si>
    <t>hF</t>
  </si>
  <si>
    <t>Potenza riscaldamento</t>
  </si>
  <si>
    <t>P f = m * (hI – hF) =</t>
  </si>
  <si>
    <t>Portata acqua condensata fra E-→F</t>
  </si>
  <si>
    <t>Port. Tot. Rinn.</t>
  </si>
  <si>
    <t>Potenze termiche scambiate</t>
  </si>
  <si>
    <t>Q totale</t>
  </si>
  <si>
    <r>
      <rPr>
        <b/>
        <sz val="11"/>
        <color rgb="FFFF0000"/>
        <rFont val="Calibri"/>
        <family val="2"/>
        <charset val="1"/>
      </rPr>
      <t>ΔT</t>
    </r>
    <r>
      <rPr>
        <sz val="11"/>
        <color rgb="FF000000"/>
        <rFont val="Calibri"/>
        <family val="2"/>
        <charset val="1"/>
      </rPr>
      <t xml:space="preserve"> immissione</t>
    </r>
  </si>
  <si>
    <t>TI = TA</t>
  </si>
  <si>
    <t xml:space="preserve">FAN COILS: </t>
  </si>
  <si>
    <t>L’aria immessa deve solo garantire il rinnovo richiesto e vincere il carico latente</t>
  </si>
  <si>
    <t>ma tot. = m rinnovo</t>
  </si>
  <si>
    <t xml:space="preserve">Q lat. = mvap* hv = mvap*( 2501 + 1,9 T)   [Kw] </t>
  </si>
  <si>
    <t>m vap. Tot</t>
  </si>
  <si>
    <t>UTA: IMMISSIONE ARIA NEUTRA</t>
  </si>
  <si>
    <t>mH20 fredda</t>
  </si>
  <si>
    <t>Q= m CT DT</t>
  </si>
  <si>
    <t>La portata complessiva di acqua fredda per l'impianto FC vale:</t>
  </si>
  <si>
    <t>Devono sottrarre il calore sensibile entrante nell'edificio per mantenere la Ta</t>
  </si>
  <si>
    <t>QFC = Qs tot - ma(ha-hi)</t>
  </si>
  <si>
    <t>UTA: IMMISSIONE ARIA con DT=10°C</t>
  </si>
  <si>
    <t>TI = TA-10</t>
  </si>
  <si>
    <t>wI= wA-Δw= wA - (mv/ma)</t>
  </si>
  <si>
    <t>TrA</t>
  </si>
  <si>
    <t>pv A</t>
  </si>
  <si>
    <t>pv = UR * pv sat/100</t>
  </si>
  <si>
    <t>UR= pv/pv sat *100  %</t>
  </si>
  <si>
    <t xml:space="preserve">Ipotizzo di usare acqua refrigerata con Dt=10°C e una T &gt; Trugiada aria </t>
  </si>
  <si>
    <t>DT H20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</si>
</sst>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"/>
    <numFmt numFmtId="166" formatCode="0.000000"/>
    <numFmt numFmtId="167" formatCode="0.00000"/>
    <numFmt numFmtId="168" formatCode="0.000"/>
    <numFmt numFmtId="169" formatCode="#"/>
  </numFmts>
  <fonts count="1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sz val="9"/>
      <color rgb="FF000000"/>
      <name val="Calibri"/>
      <family val="2"/>
      <charset val="1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charset val="1"/>
    </font>
    <font>
      <i/>
      <sz val="9"/>
      <color rgb="FFFF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79646"/>
      </patternFill>
    </fill>
    <fill>
      <patternFill patternType="solid">
        <fgColor rgb="FFFFFF00"/>
        <bgColor rgb="FFFFFF00"/>
      </patternFill>
    </fill>
    <fill>
      <patternFill patternType="solid">
        <fgColor rgb="FFF79646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7964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7964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1" fontId="0" fillId="4" borderId="0" xfId="0" applyNumberFormat="1" applyFill="1"/>
    <xf numFmtId="0" fontId="2" fillId="2" borderId="0" xfId="0" applyFont="1" applyFill="1"/>
    <xf numFmtId="0" fontId="3" fillId="2" borderId="0" xfId="0" applyFont="1" applyFill="1"/>
    <xf numFmtId="164" fontId="0" fillId="4" borderId="0" xfId="0" applyNumberFormat="1" applyFill="1"/>
    <xf numFmtId="0" fontId="0" fillId="4" borderId="0" xfId="0" applyFill="1"/>
    <xf numFmtId="165" fontId="0" fillId="2" borderId="0" xfId="0" applyNumberFormat="1" applyFill="1"/>
    <xf numFmtId="2" fontId="0" fillId="4" borderId="0" xfId="0" applyNumberFormat="1" applyFill="1"/>
    <xf numFmtId="166" fontId="0" fillId="4" borderId="0" xfId="0" applyNumberFormat="1" applyFill="1"/>
    <xf numFmtId="0" fontId="4" fillId="2" borderId="0" xfId="0" applyFont="1" applyFill="1"/>
    <xf numFmtId="167" fontId="4" fillId="4" borderId="0" xfId="0" applyNumberFormat="1" applyFont="1" applyFill="1"/>
    <xf numFmtId="165" fontId="0" fillId="3" borderId="0" xfId="0" applyNumberFormat="1" applyFill="1"/>
    <xf numFmtId="2" fontId="0" fillId="2" borderId="0" xfId="0" applyNumberFormat="1" applyFill="1"/>
    <xf numFmtId="167" fontId="0" fillId="4" borderId="0" xfId="0" applyNumberFormat="1" applyFill="1"/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5" borderId="0" xfId="0" applyFill="1"/>
    <xf numFmtId="0" fontId="7" fillId="2" borderId="0" xfId="0" applyFont="1" applyFill="1"/>
    <xf numFmtId="165" fontId="0" fillId="4" borderId="0" xfId="0" applyNumberFormat="1" applyFill="1"/>
    <xf numFmtId="164" fontId="0" fillId="2" borderId="0" xfId="0" applyNumberFormat="1" applyFill="1"/>
    <xf numFmtId="168" fontId="0" fillId="2" borderId="0" xfId="0" applyNumberFormat="1" applyFill="1"/>
    <xf numFmtId="168" fontId="0" fillId="4" borderId="0" xfId="0" applyNumberFormat="1" applyFill="1"/>
    <xf numFmtId="167" fontId="0" fillId="2" borderId="0" xfId="0" applyNumberFormat="1" applyFill="1"/>
    <xf numFmtId="1" fontId="0" fillId="2" borderId="0" xfId="0" applyNumberFormat="1" applyFill="1"/>
    <xf numFmtId="167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3" borderId="0" xfId="0" applyNumberFormat="1" applyFill="1"/>
    <xf numFmtId="0" fontId="0" fillId="2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2" fillId="2" borderId="0" xfId="0" applyFont="1" applyFill="1"/>
    <xf numFmtId="0" fontId="0" fillId="2" borderId="0" xfId="0" applyFill="1" applyAlignment="1">
      <alignment horizontal="left"/>
    </xf>
    <xf numFmtId="169" fontId="0" fillId="9" borderId="0" xfId="0" applyNumberFormat="1" applyFill="1"/>
    <xf numFmtId="165" fontId="0" fillId="9" borderId="0" xfId="0" applyNumberFormat="1" applyFill="1"/>
    <xf numFmtId="2" fontId="0" fillId="10" borderId="0" xfId="0" applyNumberFormat="1" applyFill="1"/>
    <xf numFmtId="165" fontId="0" fillId="11" borderId="0" xfId="0" applyNumberFormat="1" applyFill="1"/>
    <xf numFmtId="167" fontId="4" fillId="11" borderId="0" xfId="0" applyNumberFormat="1" applyFont="1" applyFill="1"/>
    <xf numFmtId="0" fontId="3" fillId="0" borderId="0" xfId="0" quotePrefix="1" applyFont="1"/>
    <xf numFmtId="0" fontId="2" fillId="7" borderId="0" xfId="0" applyFont="1" applyFill="1"/>
    <xf numFmtId="0" fontId="3" fillId="7" borderId="0" xfId="0" applyFont="1" applyFill="1"/>
    <xf numFmtId="166" fontId="0" fillId="11" borderId="0" xfId="0" applyNumberFormat="1" applyFill="1"/>
    <xf numFmtId="0" fontId="13" fillId="2" borderId="0" xfId="0" applyFont="1" applyFill="1"/>
    <xf numFmtId="168" fontId="0" fillId="6" borderId="0" xfId="0" applyNumberFormat="1" applyFill="1"/>
    <xf numFmtId="0" fontId="0" fillId="12" borderId="0" xfId="0" applyFill="1"/>
    <xf numFmtId="0" fontId="0" fillId="9" borderId="0" xfId="0" applyFill="1"/>
    <xf numFmtId="0" fontId="0" fillId="10" borderId="0" xfId="0" applyFill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290720" y="182880"/>
          <a:ext cx="1071108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52</xdr:row>
      <xdr:rowOff>33120</xdr:rowOff>
    </xdr:from>
    <xdr:to>
      <xdr:col>4</xdr:col>
      <xdr:colOff>303480</xdr:colOff>
      <xdr:row>58</xdr:row>
      <xdr:rowOff>15120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50472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45360</xdr:colOff>
      <xdr:row>42</xdr:row>
      <xdr:rowOff>114120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290720" y="365760"/>
          <a:ext cx="1071108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165600</xdr:colOff>
      <xdr:row>53</xdr:row>
      <xdr:rowOff>33120</xdr:rowOff>
    </xdr:from>
    <xdr:to>
      <xdr:col>4</xdr:col>
      <xdr:colOff>303480</xdr:colOff>
      <xdr:row>59</xdr:row>
      <xdr:rowOff>15120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80440" y="9687600"/>
          <a:ext cx="1086480" cy="1079280"/>
        </a:xfrm>
        <a:prstGeom prst="rect">
          <a:avLst/>
        </a:prstGeom>
        <a:ln w="1"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45360</xdr:colOff>
      <xdr:row>41</xdr:row>
      <xdr:rowOff>114120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431840" y="182880"/>
          <a:ext cx="10710720" cy="739116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756455</xdr:colOff>
      <xdr:row>0</xdr:row>
      <xdr:rowOff>58189</xdr:rowOff>
    </xdr:from>
    <xdr:to>
      <xdr:col>22</xdr:col>
      <xdr:colOff>223917</xdr:colOff>
      <xdr:row>33</xdr:row>
      <xdr:rowOff>167334</xdr:rowOff>
    </xdr:to>
    <xdr:pic>
      <xdr:nvPicPr>
        <xdr:cNvPr id="17" name="Immagin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14950" y="58189"/>
          <a:ext cx="8669651" cy="627718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64963</xdr:colOff>
      <xdr:row>27</xdr:row>
      <xdr:rowOff>71411</xdr:rowOff>
    </xdr:from>
    <xdr:to>
      <xdr:col>10</xdr:col>
      <xdr:colOff>182683</xdr:colOff>
      <xdr:row>28</xdr:row>
      <xdr:rowOff>44411</xdr:rowOff>
    </xdr:to>
    <xdr:sp macro="" textlink="">
      <xdr:nvSpPr>
        <xdr:cNvPr id="11" name="CasellaDiTesto 1"/>
        <xdr:cNvSpPr/>
      </xdr:nvSpPr>
      <xdr:spPr>
        <a:xfrm>
          <a:off x="8186498" y="4726538"/>
          <a:ext cx="117720" cy="164193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F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68956</xdr:colOff>
      <xdr:row>12</xdr:row>
      <xdr:rowOff>26051</xdr:rowOff>
    </xdr:from>
    <xdr:to>
      <xdr:col>17</xdr:col>
      <xdr:colOff>186676</xdr:colOff>
      <xdr:row>12</xdr:row>
      <xdr:rowOff>181931</xdr:rowOff>
    </xdr:to>
    <xdr:sp macro="" textlink="">
      <xdr:nvSpPr>
        <xdr:cNvPr id="12" name="CasellaDiTesto 2"/>
        <xdr:cNvSpPr/>
      </xdr:nvSpPr>
      <xdr:spPr>
        <a:xfrm>
          <a:off x="12729240" y="2270487"/>
          <a:ext cx="117720" cy="155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E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119355</xdr:colOff>
      <xdr:row>21</xdr:row>
      <xdr:rowOff>49876</xdr:rowOff>
    </xdr:from>
    <xdr:to>
      <xdr:col>15</xdr:col>
      <xdr:colOff>274320</xdr:colOff>
      <xdr:row>22</xdr:row>
      <xdr:rowOff>86071</xdr:rowOff>
    </xdr:to>
    <xdr:sp macro="" textlink="">
      <xdr:nvSpPr>
        <xdr:cNvPr id="13" name="CasellaDiTesto 3"/>
        <xdr:cNvSpPr/>
      </xdr:nvSpPr>
      <xdr:spPr>
        <a:xfrm>
          <a:off x="11482853" y="3773978"/>
          <a:ext cx="154965" cy="219075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A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579600</xdr:colOff>
      <xdr:row>39</xdr:row>
      <xdr:rowOff>156960</xdr:rowOff>
    </xdr:from>
    <xdr:to>
      <xdr:col>17</xdr:col>
      <xdr:colOff>87480</xdr:colOff>
      <xdr:row>40</xdr:row>
      <xdr:rowOff>1080</xdr:rowOff>
    </xdr:to>
    <xdr:sp macro="" textlink="">
      <xdr:nvSpPr>
        <xdr:cNvPr id="14" name="CasellaDiTesto 5"/>
        <xdr:cNvSpPr/>
      </xdr:nvSpPr>
      <xdr:spPr>
        <a:xfrm flipV="1">
          <a:off x="11754000" y="5833800"/>
          <a:ext cx="120240" cy="1944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A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262015</xdr:colOff>
      <xdr:row>28</xdr:row>
      <xdr:rowOff>142822</xdr:rowOff>
    </xdr:from>
    <xdr:to>
      <xdr:col>15</xdr:col>
      <xdr:colOff>379735</xdr:colOff>
      <xdr:row>29</xdr:row>
      <xdr:rowOff>115822</xdr:rowOff>
    </xdr:to>
    <xdr:sp macro="" textlink="">
      <xdr:nvSpPr>
        <xdr:cNvPr id="16" name="CasellaDiTesto 8"/>
        <xdr:cNvSpPr/>
      </xdr:nvSpPr>
      <xdr:spPr>
        <a:xfrm>
          <a:off x="11625513" y="4989142"/>
          <a:ext cx="117720" cy="164193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I</a:t>
          </a:r>
          <a:endParaRPr lang="it-IT" sz="11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756455</xdr:colOff>
      <xdr:row>0</xdr:row>
      <xdr:rowOff>58189</xdr:rowOff>
    </xdr:from>
    <xdr:to>
      <xdr:col>22</xdr:col>
      <xdr:colOff>223917</xdr:colOff>
      <xdr:row>33</xdr:row>
      <xdr:rowOff>167334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14950" y="58189"/>
          <a:ext cx="8669651" cy="627718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64963</xdr:colOff>
      <xdr:row>27</xdr:row>
      <xdr:rowOff>71411</xdr:rowOff>
    </xdr:from>
    <xdr:to>
      <xdr:col>10</xdr:col>
      <xdr:colOff>182683</xdr:colOff>
      <xdr:row>28</xdr:row>
      <xdr:rowOff>44411</xdr:rowOff>
    </xdr:to>
    <xdr:sp macro="" textlink="">
      <xdr:nvSpPr>
        <xdr:cNvPr id="3" name="CasellaDiTesto 1"/>
        <xdr:cNvSpPr/>
      </xdr:nvSpPr>
      <xdr:spPr>
        <a:xfrm>
          <a:off x="8144934" y="4726538"/>
          <a:ext cx="117720" cy="164193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F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68956</xdr:colOff>
      <xdr:row>12</xdr:row>
      <xdr:rowOff>26051</xdr:rowOff>
    </xdr:from>
    <xdr:to>
      <xdr:col>17</xdr:col>
      <xdr:colOff>186676</xdr:colOff>
      <xdr:row>12</xdr:row>
      <xdr:rowOff>181931</xdr:rowOff>
    </xdr:to>
    <xdr:sp macro="" textlink="">
      <xdr:nvSpPr>
        <xdr:cNvPr id="4" name="CasellaDiTesto 2"/>
        <xdr:cNvSpPr/>
      </xdr:nvSpPr>
      <xdr:spPr>
        <a:xfrm>
          <a:off x="12687676" y="2270487"/>
          <a:ext cx="117720" cy="15588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E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119355</xdr:colOff>
      <xdr:row>21</xdr:row>
      <xdr:rowOff>49876</xdr:rowOff>
    </xdr:from>
    <xdr:to>
      <xdr:col>15</xdr:col>
      <xdr:colOff>274320</xdr:colOff>
      <xdr:row>22</xdr:row>
      <xdr:rowOff>86071</xdr:rowOff>
    </xdr:to>
    <xdr:sp macro="" textlink="">
      <xdr:nvSpPr>
        <xdr:cNvPr id="5" name="CasellaDiTesto 3"/>
        <xdr:cNvSpPr/>
      </xdr:nvSpPr>
      <xdr:spPr>
        <a:xfrm>
          <a:off x="11441290" y="3773978"/>
          <a:ext cx="154965" cy="219075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A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579600</xdr:colOff>
      <xdr:row>39</xdr:row>
      <xdr:rowOff>156960</xdr:rowOff>
    </xdr:from>
    <xdr:to>
      <xdr:col>17</xdr:col>
      <xdr:colOff>87480</xdr:colOff>
      <xdr:row>40</xdr:row>
      <xdr:rowOff>1080</xdr:rowOff>
    </xdr:to>
    <xdr:sp macro="" textlink="">
      <xdr:nvSpPr>
        <xdr:cNvPr id="6" name="CasellaDiTesto 5"/>
        <xdr:cNvSpPr/>
      </xdr:nvSpPr>
      <xdr:spPr>
        <a:xfrm flipV="1">
          <a:off x="12549927" y="7106400"/>
          <a:ext cx="156273" cy="35313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A</a:t>
          </a:r>
          <a:endParaRPr lang="it-IT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262015</xdr:colOff>
      <xdr:row>28</xdr:row>
      <xdr:rowOff>142822</xdr:rowOff>
    </xdr:from>
    <xdr:to>
      <xdr:col>15</xdr:col>
      <xdr:colOff>379735</xdr:colOff>
      <xdr:row>29</xdr:row>
      <xdr:rowOff>115822</xdr:rowOff>
    </xdr:to>
    <xdr:sp macro="" textlink="">
      <xdr:nvSpPr>
        <xdr:cNvPr id="7" name="CasellaDiTesto 8"/>
        <xdr:cNvSpPr/>
      </xdr:nvSpPr>
      <xdr:spPr>
        <a:xfrm>
          <a:off x="11583950" y="4989142"/>
          <a:ext cx="117720" cy="164193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36000" anchor="t">
          <a:noAutofit/>
        </a:bodyPr>
        <a:lstStyle/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I</a:t>
          </a:r>
          <a:endParaRPr lang="it-IT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8"/>
  <sheetViews>
    <sheetView topLeftCell="A34" zoomScaleNormal="100" workbookViewId="0">
      <selection activeCell="F4" sqref="F4"/>
    </sheetView>
  </sheetViews>
  <sheetFormatPr defaultColWidth="8.6640625" defaultRowHeight="15.05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0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99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3.8991729027176057E-5</v>
      </c>
      <c r="F8" s="1" t="s">
        <v>20</v>
      </c>
      <c r="G8" s="9">
        <f>E8*3600*1000</f>
        <v>140.37022449783382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1.2477353288696338E-3</v>
      </c>
      <c r="F9" s="1" t="s">
        <v>20</v>
      </c>
      <c r="G9" s="1"/>
      <c r="H9" s="1"/>
    </row>
    <row r="10" spans="1:8" ht="13.25" customHeight="1">
      <c r="A10" s="1"/>
      <c r="B10" s="1"/>
      <c r="C10" s="1"/>
      <c r="D10" s="12" t="s">
        <v>25</v>
      </c>
      <c r="E10" s="8">
        <f>E9/B34</f>
        <v>2.5190803285263648E-4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7.00459159801518E-3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14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5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9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4.9531383129792674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-6.4018181818181814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44.93228339529292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6.9651877063822048E-3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44.939248582999298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3568.1211445000004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1122.0774347190718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31.447290864792322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32</v>
      </c>
    </row>
    <row r="46" spans="1:8" s="1" customFormat="1">
      <c r="A46" s="1" t="s">
        <v>73</v>
      </c>
      <c r="B46" s="8">
        <f>B45*H44</f>
        <v>0.26879999999999998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4.9531383129792674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4.9531383129792674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7.5220233658989706</v>
      </c>
      <c r="C55" s="1" t="s">
        <v>23</v>
      </c>
    </row>
    <row r="56" spans="1:4" s="1" customFormat="1">
      <c r="A56" s="1" t="s">
        <v>83</v>
      </c>
      <c r="B56" s="7">
        <f>(B8*$B$51+B21*$B$50)/$B$49</f>
        <v>3.0076063038380531E-3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487.5872</v>
      </c>
      <c r="C58" s="1" t="s">
        <v>15</v>
      </c>
    </row>
    <row r="59" spans="1:4" s="1" customFormat="1">
      <c r="A59" s="1" t="s">
        <v>86</v>
      </c>
      <c r="B59" s="21">
        <f>B58/B57*100</f>
        <v>80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44.93228339529292</v>
      </c>
      <c r="C62" s="1" t="s">
        <v>23</v>
      </c>
    </row>
    <row r="63" spans="1:4" s="1" customFormat="1">
      <c r="A63" s="1" t="s">
        <v>89</v>
      </c>
      <c r="B63" s="22">
        <f>B8</f>
        <v>3.0076063038380531E-3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37.49735612782338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6365.6495899729971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487.5872</v>
      </c>
      <c r="D66" s="5" t="s">
        <v>66</v>
      </c>
    </row>
    <row r="67" spans="1:7" s="1" customFormat="1">
      <c r="A67" s="1" t="s">
        <v>93</v>
      </c>
      <c r="B67" s="21">
        <f>B66/B65*100</f>
        <v>7.6596613292700635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185.29819225010809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1.9602448071675663E-2</v>
      </c>
      <c r="C74" s="1" t="s">
        <v>54</v>
      </c>
      <c r="D74" s="10">
        <f>B74*3600</f>
        <v>70.56881305803239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42"/>
  <sheetViews>
    <sheetView topLeftCell="A34" zoomScaleNormal="100" workbookViewId="0">
      <selection activeCell="D62" sqref="D62"/>
    </sheetView>
  </sheetViews>
  <sheetFormatPr defaultColWidth="8.6640625" defaultRowHeight="15.05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99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100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3.9385584875935413E-5</v>
      </c>
      <c r="F8" s="1" t="s">
        <v>20</v>
      </c>
      <c r="G8" s="9">
        <f>E8*3600*1000</f>
        <v>141.7881055533675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1.2603387160299332E-3</v>
      </c>
      <c r="F9" s="1" t="s">
        <v>20</v>
      </c>
      <c r="G9" s="1"/>
      <c r="H9" s="1"/>
    </row>
    <row r="10" spans="1:8" ht="13.25" customHeight="1">
      <c r="A10" s="1"/>
      <c r="B10" s="1"/>
      <c r="C10" s="1"/>
      <c r="D10" s="12" t="s">
        <v>25</v>
      </c>
      <c r="E10" s="8">
        <f>E9/B34</f>
        <v>2.5445255843700655E-4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7.0020470724308104E-3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3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5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1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100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4.9531383129792674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-6.4018181818181814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44.93228339529292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6.9651877063822048E-3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44.939248582999298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3568.1211445000004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1122.0774347190718</v>
      </c>
      <c r="C40" s="1" t="s">
        <v>65</v>
      </c>
      <c r="D40" s="5" t="s">
        <v>101</v>
      </c>
    </row>
    <row r="41" spans="1:8" s="1" customFormat="1">
      <c r="A41" s="1" t="s">
        <v>67</v>
      </c>
      <c r="B41" s="21">
        <f>B40/B39*100</f>
        <v>31.447290864792322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32</v>
      </c>
    </row>
    <row r="46" spans="1:8" s="1" customFormat="1">
      <c r="A46" s="1" t="s">
        <v>73</v>
      </c>
      <c r="B46" s="8">
        <f>B45*H44</f>
        <v>0.26879999999999998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4.9531383129792674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4.9531383129792674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7.5220233658989706</v>
      </c>
      <c r="C55" s="1" t="s">
        <v>23</v>
      </c>
    </row>
    <row r="56" spans="1:4" s="1" customFormat="1">
      <c r="A56" s="1" t="s">
        <v>83</v>
      </c>
      <c r="B56" s="7">
        <f>(B8*$B$51+B21*$B$50)/$B$49</f>
        <v>3.0076063038380531E-3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487.5872</v>
      </c>
      <c r="C58" s="1" t="s">
        <v>15</v>
      </c>
    </row>
    <row r="59" spans="1:4" s="1" customFormat="1">
      <c r="A59" s="1" t="s">
        <v>86</v>
      </c>
      <c r="B59" s="21">
        <f>B58/B57*100</f>
        <v>80</v>
      </c>
      <c r="C59" s="1" t="s">
        <v>11</v>
      </c>
    </row>
    <row r="60" spans="1:4" s="1" customFormat="1"/>
    <row r="61" spans="1:4" s="1" customFormat="1">
      <c r="A61" s="2" t="s">
        <v>102</v>
      </c>
    </row>
    <row r="62" spans="1:4" s="1" customFormat="1">
      <c r="A62" s="1" t="s">
        <v>103</v>
      </c>
      <c r="B62" s="1">
        <v>100</v>
      </c>
      <c r="C62" s="1" t="s">
        <v>11</v>
      </c>
      <c r="D62" s="5" t="s">
        <v>104</v>
      </c>
    </row>
    <row r="63" spans="1:4" s="1" customFormat="1">
      <c r="A63" s="1" t="s">
        <v>105</v>
      </c>
      <c r="B63" s="25">
        <f>B37</f>
        <v>6.9651877063822048E-3</v>
      </c>
      <c r="C63" s="1" t="s">
        <v>60</v>
      </c>
    </row>
    <row r="64" spans="1:4" s="1" customFormat="1">
      <c r="A64" s="1" t="s">
        <v>106</v>
      </c>
      <c r="B64" s="9">
        <f>101325*B63/(0.622+B63)</f>
        <v>1122.0774347190718</v>
      </c>
      <c r="C64" s="1" t="s">
        <v>15</v>
      </c>
      <c r="D64" s="5" t="s">
        <v>101</v>
      </c>
    </row>
    <row r="65" spans="1:7" s="1" customFormat="1">
      <c r="A65" s="1" t="s">
        <v>107</v>
      </c>
      <c r="B65" s="9">
        <f>B64</f>
        <v>1122.0774347190718</v>
      </c>
      <c r="C65" s="12" t="s">
        <v>15</v>
      </c>
      <c r="D65" s="5" t="s">
        <v>68</v>
      </c>
    </row>
    <row r="66" spans="1:7" s="1" customFormat="1">
      <c r="A66" s="1" t="s">
        <v>108</v>
      </c>
      <c r="B66" s="9">
        <f>237.3*LN(B64/610.5)/(17.269-LN(B64/610.5))</f>
        <v>8.669374339256521</v>
      </c>
      <c r="C66" s="1" t="s">
        <v>6</v>
      </c>
      <c r="D66" s="5" t="s">
        <v>109</v>
      </c>
    </row>
    <row r="67" spans="1:7" s="1" customFormat="1">
      <c r="A67" s="1" t="s">
        <v>110</v>
      </c>
      <c r="B67" s="9">
        <f>(1.006+1.9*B63)*B66+2501*B63</f>
        <v>26.256054296136604</v>
      </c>
      <c r="C67" s="1" t="s">
        <v>61</v>
      </c>
      <c r="D67" s="5" t="s">
        <v>62</v>
      </c>
    </row>
    <row r="68" spans="1:7" s="1" customFormat="1"/>
    <row r="69" spans="1:7" s="1" customFormat="1">
      <c r="A69" s="2" t="s">
        <v>111</v>
      </c>
    </row>
    <row r="70" spans="1:7" s="1" customFormat="1">
      <c r="A70" s="1" t="s">
        <v>112</v>
      </c>
      <c r="B70" s="15">
        <f>B67</f>
        <v>26.256054296136604</v>
      </c>
      <c r="C70" s="1" t="s">
        <v>23</v>
      </c>
    </row>
    <row r="71" spans="1:7" s="1" customFormat="1">
      <c r="A71" s="1" t="s">
        <v>113</v>
      </c>
      <c r="B71" s="22">
        <f>B8</f>
        <v>3.0076063038380531E-3</v>
      </c>
      <c r="C71" s="1" t="s">
        <v>84</v>
      </c>
      <c r="D71" s="5" t="s">
        <v>66</v>
      </c>
    </row>
    <row r="72" spans="1:7" s="1" customFormat="1">
      <c r="A72" s="1" t="s">
        <v>114</v>
      </c>
      <c r="B72" s="22">
        <f>B70-2501*B71/(1.006+1.9*B71)</f>
        <v>18.821127028667064</v>
      </c>
      <c r="C72" s="1" t="s">
        <v>6</v>
      </c>
      <c r="D72" s="5" t="s">
        <v>62</v>
      </c>
    </row>
    <row r="73" spans="1:7" s="1" customFormat="1">
      <c r="A73" s="1" t="s">
        <v>91</v>
      </c>
      <c r="B73" s="4">
        <f>0.0496965*B72^3+0.979515*B72^2+46.9035*B72+609.484</f>
        <v>2170.5705191873585</v>
      </c>
      <c r="C73" s="1" t="s">
        <v>15</v>
      </c>
      <c r="D73" s="5" t="s">
        <v>39</v>
      </c>
    </row>
    <row r="74" spans="1:7" s="1" customFormat="1">
      <c r="A74" s="1" t="s">
        <v>92</v>
      </c>
      <c r="B74" s="4">
        <f>101325*B71/(0.622+B71)</f>
        <v>487.5872</v>
      </c>
      <c r="D74" s="5" t="s">
        <v>66</v>
      </c>
    </row>
    <row r="75" spans="1:7" s="1" customFormat="1">
      <c r="A75" s="1" t="s">
        <v>93</v>
      </c>
      <c r="B75" s="21">
        <f>B74/B73*100</f>
        <v>22.463550282740783</v>
      </c>
      <c r="C75" s="1" t="s">
        <v>11</v>
      </c>
      <c r="D75" s="5" t="s">
        <v>68</v>
      </c>
    </row>
    <row r="76" spans="1:7" s="1" customFormat="1"/>
    <row r="77" spans="1:7" s="1" customFormat="1"/>
    <row r="78" spans="1:7" s="1" customFormat="1">
      <c r="A78" s="2" t="s">
        <v>115</v>
      </c>
    </row>
    <row r="79" spans="1:7" s="1" customFormat="1">
      <c r="A79" s="1" t="s">
        <v>116</v>
      </c>
      <c r="B79" s="21">
        <f>B49*(B70-B9)</f>
        <v>92.792246357098648</v>
      </c>
      <c r="C79" s="1" t="s">
        <v>96</v>
      </c>
    </row>
    <row r="80" spans="1:7" s="1" customFormat="1">
      <c r="B80" s="21"/>
      <c r="G80" s="15"/>
    </row>
    <row r="81" spans="1:7" s="1" customFormat="1">
      <c r="A81" s="2" t="s">
        <v>117</v>
      </c>
      <c r="G81" s="15"/>
    </row>
    <row r="82" spans="1:7" s="1" customFormat="1">
      <c r="A82" s="1" t="s">
        <v>118</v>
      </c>
      <c r="B82" s="21">
        <f>B49*(B36-B67)</f>
        <v>92.505945893009425</v>
      </c>
      <c r="C82" s="1" t="s">
        <v>96</v>
      </c>
      <c r="G82" s="15"/>
    </row>
    <row r="83" spans="1:7" s="1" customFormat="1">
      <c r="B83" s="21"/>
      <c r="G83" s="15"/>
    </row>
    <row r="84" spans="1:7" s="1" customFormat="1">
      <c r="A84" s="2" t="s">
        <v>119</v>
      </c>
      <c r="B84" s="21"/>
      <c r="C84" s="1" t="s">
        <v>96</v>
      </c>
      <c r="G84" s="15"/>
    </row>
    <row r="85" spans="1:7" s="1" customFormat="1">
      <c r="A85" s="1" t="s">
        <v>120</v>
      </c>
      <c r="B85" s="21">
        <f>B79+B82</f>
        <v>185.29819225010806</v>
      </c>
      <c r="C85" s="1" t="s">
        <v>96</v>
      </c>
      <c r="D85" s="1" t="s">
        <v>121</v>
      </c>
      <c r="G85" s="15"/>
    </row>
    <row r="86" spans="1:7" s="1" customFormat="1">
      <c r="B86" s="21"/>
      <c r="G86" s="15"/>
    </row>
    <row r="87" spans="1:7" s="1" customFormat="1">
      <c r="A87" s="2" t="s">
        <v>122</v>
      </c>
      <c r="G87" s="15"/>
    </row>
    <row r="88" spans="1:7" s="1" customFormat="1">
      <c r="A88" s="1" t="s">
        <v>98</v>
      </c>
      <c r="B88" s="8">
        <f>B49*(B63-B71)</f>
        <v>1.9602448071675663E-2</v>
      </c>
      <c r="C88" s="1" t="s">
        <v>54</v>
      </c>
      <c r="D88" s="10">
        <f>B88*3600</f>
        <v>70.56881305803239</v>
      </c>
      <c r="E88" s="1" t="s">
        <v>71</v>
      </c>
    </row>
    <row r="89" spans="1:7" s="1" customFormat="1">
      <c r="D89" s="15"/>
    </row>
    <row r="90" spans="1:7" s="1" customFormat="1"/>
    <row r="91" spans="1:7" s="1" customFormat="1"/>
    <row r="92" spans="1:7" s="1" customFormat="1">
      <c r="A92" s="2"/>
    </row>
    <row r="93" spans="1:7" s="1" customFormat="1">
      <c r="B93" s="25"/>
    </row>
    <row r="94" spans="1:7" s="1" customFormat="1"/>
    <row r="95" spans="1:7" s="1" customFormat="1">
      <c r="B95" s="15"/>
    </row>
    <row r="96" spans="1:7" s="1" customFormat="1">
      <c r="B96" s="15"/>
    </row>
    <row r="97" spans="2:2" s="1" customFormat="1">
      <c r="B97" s="15"/>
    </row>
    <row r="98" spans="2:2" s="1" customFormat="1"/>
    <row r="99" spans="2:2" s="1" customFormat="1"/>
    <row r="100" spans="2:2" s="1" customFormat="1">
      <c r="B100" s="26"/>
    </row>
    <row r="101" spans="2:2" s="1" customFormat="1">
      <c r="B101" s="26"/>
    </row>
    <row r="102" spans="2:2" s="1" customFormat="1">
      <c r="B102" s="9"/>
    </row>
    <row r="103" spans="2:2" s="1" customFormat="1"/>
    <row r="104" spans="2:2" s="1" customFormat="1"/>
    <row r="105" spans="2:2" s="1" customFormat="1"/>
    <row r="140" spans="5:7">
      <c r="E140" s="27"/>
    </row>
    <row r="141" spans="5:7">
      <c r="E141" s="28"/>
    </row>
    <row r="142" spans="5:7">
      <c r="E142" s="28"/>
      <c r="G142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27"/>
  <sheetViews>
    <sheetView zoomScaleNormal="100" workbookViewId="0">
      <selection activeCell="F17" sqref="F17"/>
    </sheetView>
  </sheetViews>
  <sheetFormatPr defaultColWidth="8.6640625" defaultRowHeight="15.05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123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32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80</v>
      </c>
      <c r="C6" s="1" t="s">
        <v>11</v>
      </c>
      <c r="D6" s="1" t="s">
        <v>12</v>
      </c>
      <c r="E6" s="3">
        <v>100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3.0076063038380531E-3</v>
      </c>
      <c r="C8" s="1" t="s">
        <v>18</v>
      </c>
      <c r="D8" s="1" t="s">
        <v>19</v>
      </c>
      <c r="E8" s="8">
        <f>E6/1000/(2501+1.9*$B$18)</f>
        <v>3.9385584875935413E-5</v>
      </c>
      <c r="F8" s="1" t="s">
        <v>20</v>
      </c>
      <c r="G8" s="9">
        <f>E8*3600*1000</f>
        <v>141.7881055533675</v>
      </c>
      <c r="H8" s="1" t="s">
        <v>21</v>
      </c>
    </row>
    <row r="9" spans="1:8">
      <c r="A9" s="1" t="s">
        <v>22</v>
      </c>
      <c r="B9" s="10">
        <f>1.006*B5+B8*(2501+1.805*B5)</f>
        <v>7.5220233658989706</v>
      </c>
      <c r="C9" s="1" t="s">
        <v>23</v>
      </c>
      <c r="D9" s="1" t="s">
        <v>24</v>
      </c>
      <c r="E9" s="11">
        <f>E8*E4</f>
        <v>1.2603387160299332E-3</v>
      </c>
      <c r="F9" s="1" t="s">
        <v>20</v>
      </c>
      <c r="G9" s="1"/>
      <c r="H9" s="1"/>
    </row>
    <row r="10" spans="1:8" ht="13.25" customHeight="1">
      <c r="A10" s="1"/>
      <c r="B10" s="1"/>
      <c r="C10" s="1"/>
      <c r="D10" s="12" t="s">
        <v>25</v>
      </c>
      <c r="E10" s="8">
        <f>E9/B33</f>
        <v>2.5445255843700655E-4</v>
      </c>
      <c r="G10" s="6" t="s">
        <v>26</v>
      </c>
    </row>
    <row r="11" spans="1:8" s="1" customFormat="1">
      <c r="A11" s="1" t="s">
        <v>27</v>
      </c>
      <c r="B11" s="3">
        <v>-34880</v>
      </c>
      <c r="C11" s="1" t="s">
        <v>13</v>
      </c>
      <c r="D11" s="1" t="s">
        <v>28</v>
      </c>
      <c r="E11" s="13">
        <f>B21-E10</f>
        <v>7.0020470724308104E-3</v>
      </c>
      <c r="G11" s="6" t="s">
        <v>29</v>
      </c>
    </row>
    <row r="12" spans="1:8" s="1" customFormat="1">
      <c r="A12" s="1" t="s">
        <v>30</v>
      </c>
      <c r="B12" s="3">
        <v>1.1000000000000001</v>
      </c>
      <c r="E12" s="13"/>
      <c r="G12" s="6"/>
    </row>
    <row r="13" spans="1:8" s="1" customFormat="1">
      <c r="A13" s="1" t="s">
        <v>31</v>
      </c>
      <c r="B13" s="3">
        <f>(B11-B12*B11)/B12</f>
        <v>3170.9090909090905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5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-34880</v>
      </c>
      <c r="C25" s="1" t="s">
        <v>13</v>
      </c>
    </row>
    <row r="26" spans="1:5" s="1" customFormat="1">
      <c r="A26" s="1" t="s">
        <v>47</v>
      </c>
      <c r="B26" s="1">
        <f>B13</f>
        <v>3170.9090909090905</v>
      </c>
      <c r="C26" s="1" t="s">
        <v>13</v>
      </c>
    </row>
    <row r="27" spans="1:5" s="1" customFormat="1">
      <c r="A27" s="17" t="s">
        <v>48</v>
      </c>
      <c r="B27" s="8">
        <f>B25+B26</f>
        <v>-31709.090909090908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1.1000000000000001</v>
      </c>
      <c r="D28" s="18"/>
      <c r="E28" s="15"/>
    </row>
    <row r="29" spans="1:5" s="1" customFormat="1">
      <c r="B29" s="15"/>
    </row>
    <row r="30" spans="1:5" s="1" customFormat="1">
      <c r="A30" s="1" t="s">
        <v>100</v>
      </c>
      <c r="B30" s="3">
        <v>7</v>
      </c>
      <c r="C30" s="1" t="s">
        <v>6</v>
      </c>
    </row>
    <row r="31" spans="1:5" s="1" customFormat="1">
      <c r="A31" s="1" t="s">
        <v>51</v>
      </c>
      <c r="B31" s="19">
        <f>B18+B30</f>
        <v>27</v>
      </c>
      <c r="C31" s="1" t="s">
        <v>6</v>
      </c>
    </row>
    <row r="32" spans="1:5" s="1" customFormat="1">
      <c r="A32" s="1" t="s">
        <v>52</v>
      </c>
      <c r="B32" s="15"/>
    </row>
    <row r="33" spans="1:8" s="1" customFormat="1">
      <c r="A33" s="1" t="s">
        <v>53</v>
      </c>
      <c r="B33" s="15">
        <f>ABS(B25/(1006*(B18-B31)))</f>
        <v>4.9531383129792674</v>
      </c>
      <c r="C33" s="1" t="s">
        <v>54</v>
      </c>
      <c r="D33" s="5" t="s">
        <v>55</v>
      </c>
    </row>
    <row r="34" spans="1:8" s="1" customFormat="1">
      <c r="A34" s="20" t="s">
        <v>56</v>
      </c>
      <c r="B34" s="9">
        <f>B27/B33/1000</f>
        <v>-6.4018181818181814</v>
      </c>
      <c r="C34" s="1" t="s">
        <v>23</v>
      </c>
      <c r="D34" s="5" t="s">
        <v>57</v>
      </c>
    </row>
    <row r="35" spans="1:8" s="1" customFormat="1">
      <c r="A35" s="1" t="s">
        <v>58</v>
      </c>
      <c r="B35" s="15">
        <f>B22-B34</f>
        <v>44.93228339529292</v>
      </c>
      <c r="C35" s="1" t="s">
        <v>23</v>
      </c>
      <c r="D35" s="5" t="s">
        <v>59</v>
      </c>
    </row>
    <row r="36" spans="1:8" s="1" customFormat="1">
      <c r="A36" s="1" t="s">
        <v>28</v>
      </c>
      <c r="B36" s="16">
        <f>(B35-1.006*B31)/(2500+1.9*B31)</f>
        <v>6.9651877063822048E-3</v>
      </c>
      <c r="C36" s="1" t="s">
        <v>60</v>
      </c>
      <c r="D36" s="5" t="s">
        <v>42</v>
      </c>
    </row>
    <row r="37" spans="1:8" s="1" customFormat="1">
      <c r="A37" s="1" t="s">
        <v>58</v>
      </c>
      <c r="B37" s="10">
        <f>(1.006+1.9*B36)*B31+2501*B36</f>
        <v>44.939248582999298</v>
      </c>
      <c r="C37" s="1" t="s">
        <v>61</v>
      </c>
      <c r="D37" s="5" t="s">
        <v>62</v>
      </c>
    </row>
    <row r="38" spans="1:8" s="1" customFormat="1">
      <c r="A38" s="1" t="s">
        <v>63</v>
      </c>
      <c r="B38" s="4">
        <f>0.0496965*$B$31^3+0.979515*$B$31^2+46.9035*$B$31+609.484</f>
        <v>3568.1211445000004</v>
      </c>
      <c r="C38" s="1" t="s">
        <v>15</v>
      </c>
      <c r="D38" s="5" t="s">
        <v>39</v>
      </c>
    </row>
    <row r="39" spans="1:8" s="1" customFormat="1">
      <c r="A39" s="1" t="s">
        <v>64</v>
      </c>
      <c r="B39" s="4">
        <f>101325*B36/(0.622+B36)</f>
        <v>1122.0774347190718</v>
      </c>
      <c r="C39" s="1" t="s">
        <v>65</v>
      </c>
      <c r="D39" s="5" t="s">
        <v>66</v>
      </c>
    </row>
    <row r="40" spans="1:8" s="1" customFormat="1">
      <c r="A40" s="1" t="s">
        <v>67</v>
      </c>
      <c r="B40" s="21">
        <f>B39/B38*100</f>
        <v>31.447290864792322</v>
      </c>
      <c r="C40" s="1" t="s">
        <v>11</v>
      </c>
      <c r="D40" s="5" t="s">
        <v>68</v>
      </c>
    </row>
    <row r="41" spans="1:8" s="1" customFormat="1"/>
    <row r="42" spans="1:8" s="1" customFormat="1">
      <c r="A42" s="2" t="s">
        <v>69</v>
      </c>
    </row>
    <row r="43" spans="1:8" s="1" customFormat="1">
      <c r="A43" s="1" t="s">
        <v>70</v>
      </c>
      <c r="B43" s="1">
        <v>7</v>
      </c>
      <c r="C43" s="1" t="s">
        <v>8</v>
      </c>
      <c r="D43" s="1">
        <f>B43*3.6</f>
        <v>25.2</v>
      </c>
      <c r="E43" s="1" t="s">
        <v>9</v>
      </c>
      <c r="F43" s="1">
        <f>1.2*D43</f>
        <v>30.24</v>
      </c>
      <c r="G43" s="1" t="s">
        <v>71</v>
      </c>
      <c r="H43" s="22">
        <f>F43/3600</f>
        <v>8.3999999999999995E-3</v>
      </c>
    </row>
    <row r="44" spans="1:8" s="1" customFormat="1">
      <c r="A44" s="1" t="s">
        <v>72</v>
      </c>
      <c r="B44" s="1">
        <f>E4</f>
        <v>32</v>
      </c>
    </row>
    <row r="45" spans="1:8" s="1" customFormat="1">
      <c r="A45" s="1" t="s">
        <v>73</v>
      </c>
      <c r="B45" s="8">
        <f>B44*H43</f>
        <v>0.26879999999999998</v>
      </c>
      <c r="C45" s="1" t="s">
        <v>74</v>
      </c>
    </row>
    <row r="46" spans="1:8" s="1" customFormat="1"/>
    <row r="47" spans="1:8" s="1" customFormat="1">
      <c r="A47" s="1" t="s">
        <v>75</v>
      </c>
    </row>
    <row r="48" spans="1:8" s="1" customFormat="1">
      <c r="A48" s="1" t="s">
        <v>76</v>
      </c>
      <c r="B48" s="23">
        <f>B33</f>
        <v>4.9531383129792674</v>
      </c>
      <c r="C48" s="1" t="s">
        <v>74</v>
      </c>
    </row>
    <row r="49" spans="1:4" s="1" customFormat="1">
      <c r="A49" s="1" t="s">
        <v>77</v>
      </c>
      <c r="B49" s="24">
        <f>B48*0</f>
        <v>0</v>
      </c>
      <c r="C49" s="1" t="s">
        <v>74</v>
      </c>
    </row>
    <row r="50" spans="1:4" s="1" customFormat="1">
      <c r="A50" s="1" t="s">
        <v>78</v>
      </c>
      <c r="B50" s="24">
        <f>B48-B49</f>
        <v>4.9531383129792674</v>
      </c>
      <c r="C50" s="1" t="s">
        <v>79</v>
      </c>
    </row>
    <row r="51" spans="1:4" s="1" customFormat="1"/>
    <row r="52" spans="1:4" s="1" customFormat="1">
      <c r="A52" s="2" t="s">
        <v>80</v>
      </c>
    </row>
    <row r="53" spans="1:4" s="1" customFormat="1">
      <c r="A53" s="1" t="s">
        <v>81</v>
      </c>
      <c r="B53" s="21">
        <f>(B5*$B$50+B18*$B$49)/$B$48</f>
        <v>0</v>
      </c>
      <c r="C53" s="1" t="s">
        <v>6</v>
      </c>
    </row>
    <row r="54" spans="1:4" s="1" customFormat="1">
      <c r="A54" s="1" t="s">
        <v>82</v>
      </c>
      <c r="B54" s="21">
        <f>(B9*$B$50+B22*$B$49)/$B$48</f>
        <v>7.5220233658989706</v>
      </c>
      <c r="C54" s="1" t="s">
        <v>23</v>
      </c>
    </row>
    <row r="55" spans="1:4" s="1" customFormat="1">
      <c r="A55" s="1" t="s">
        <v>83</v>
      </c>
      <c r="B55" s="7">
        <f>(B8*$B$50+B21*$B$49)/$B$48</f>
        <v>3.0076063038380531E-3</v>
      </c>
      <c r="C55" s="1" t="s">
        <v>84</v>
      </c>
    </row>
    <row r="56" spans="1:4" s="1" customFormat="1">
      <c r="A56" s="1" t="s">
        <v>63</v>
      </c>
      <c r="B56" s="4">
        <f>0.0496965*B53^3+0.979515*B53^2+46.9035*B53+609.484</f>
        <v>609.48400000000004</v>
      </c>
      <c r="C56" s="1" t="s">
        <v>15</v>
      </c>
    </row>
    <row r="57" spans="1:4" s="1" customFormat="1">
      <c r="A57" s="1" t="s">
        <v>85</v>
      </c>
      <c r="B57" s="4">
        <f>101325*B55/(0.622+B55)</f>
        <v>487.5872</v>
      </c>
      <c r="C57" s="1" t="s">
        <v>15</v>
      </c>
    </row>
    <row r="58" spans="1:4" s="1" customFormat="1">
      <c r="A58" s="1" t="s">
        <v>86</v>
      </c>
      <c r="B58" s="21">
        <f>B57/B56*100</f>
        <v>80</v>
      </c>
      <c r="C58" s="1" t="s">
        <v>11</v>
      </c>
    </row>
    <row r="59" spans="1:4" s="1" customFormat="1"/>
    <row r="60" spans="1:4" s="1" customFormat="1">
      <c r="A60" s="2" t="s">
        <v>124</v>
      </c>
    </row>
    <row r="61" spans="1:4" s="1" customFormat="1">
      <c r="A61" s="1" t="s">
        <v>125</v>
      </c>
      <c r="B61" s="15">
        <f>B31</f>
        <v>27</v>
      </c>
      <c r="C61" s="1" t="s">
        <v>6</v>
      </c>
    </row>
    <row r="62" spans="1:4" s="1" customFormat="1">
      <c r="A62" s="1" t="s">
        <v>89</v>
      </c>
      <c r="B62" s="22">
        <f>B8</f>
        <v>3.0076063038380531E-3</v>
      </c>
      <c r="C62" s="1" t="s">
        <v>84</v>
      </c>
      <c r="D62" s="5" t="s">
        <v>66</v>
      </c>
    </row>
    <row r="63" spans="1:4" s="1" customFormat="1">
      <c r="A63" s="1" t="s">
        <v>126</v>
      </c>
      <c r="B63" s="22">
        <f>(1.006+1.9*B62)*B61+2501*B62</f>
        <v>34.838313569285859</v>
      </c>
      <c r="C63" s="1" t="s">
        <v>23</v>
      </c>
      <c r="D63" s="5" t="s">
        <v>62</v>
      </c>
    </row>
    <row r="64" spans="1:4" s="1" customFormat="1">
      <c r="A64" s="1" t="s">
        <v>91</v>
      </c>
      <c r="B64" s="4">
        <f>0.0496965*B61^3+0.979515*B61^2+46.9035*B61+609.484</f>
        <v>3568.1211445000004</v>
      </c>
      <c r="C64" s="1" t="s">
        <v>15</v>
      </c>
      <c r="D64" s="5" t="s">
        <v>39</v>
      </c>
    </row>
    <row r="65" spans="1:7" s="1" customFormat="1">
      <c r="A65" s="1" t="s">
        <v>92</v>
      </c>
      <c r="B65" s="4">
        <f>101325*B62/(0.622+B62)</f>
        <v>487.5872</v>
      </c>
      <c r="D65" s="5" t="s">
        <v>66</v>
      </c>
    </row>
    <row r="66" spans="1:7" s="1" customFormat="1">
      <c r="A66" s="1" t="s">
        <v>93</v>
      </c>
      <c r="B66" s="21">
        <f>B65/B64*100</f>
        <v>13.665096566342214</v>
      </c>
      <c r="C66" s="1" t="s">
        <v>11</v>
      </c>
      <c r="D66" s="5" t="s">
        <v>68</v>
      </c>
    </row>
    <row r="67" spans="1:7" s="1" customFormat="1"/>
    <row r="68" spans="1:7" s="1" customFormat="1"/>
    <row r="69" spans="1:7" s="1" customFormat="1">
      <c r="A69" s="2" t="s">
        <v>127</v>
      </c>
    </row>
    <row r="70" spans="1:7" s="1" customFormat="1">
      <c r="A70" s="1" t="s">
        <v>95</v>
      </c>
      <c r="B70" s="21">
        <f>B48*(B63-B9)</f>
        <v>135.30136357485583</v>
      </c>
      <c r="C70" s="1" t="s">
        <v>96</v>
      </c>
    </row>
    <row r="71" spans="1:7" s="1" customFormat="1">
      <c r="B71" s="21"/>
      <c r="G71" s="15"/>
    </row>
    <row r="72" spans="1:7" s="1" customFormat="1">
      <c r="A72" s="2" t="s">
        <v>128</v>
      </c>
      <c r="G72" s="15"/>
    </row>
    <row r="73" spans="1:7" s="1" customFormat="1">
      <c r="A73" s="1" t="s">
        <v>98</v>
      </c>
      <c r="B73" s="8">
        <f>B48*(B36-B62)</f>
        <v>1.9602448071675663E-2</v>
      </c>
      <c r="C73" s="1" t="s">
        <v>54</v>
      </c>
      <c r="D73" s="10">
        <f>B73*3600</f>
        <v>70.56881305803239</v>
      </c>
      <c r="E73" s="1" t="s">
        <v>71</v>
      </c>
    </row>
    <row r="74" spans="1:7" s="1" customFormat="1">
      <c r="D74" s="15"/>
    </row>
    <row r="75" spans="1:7" s="1" customFormat="1"/>
    <row r="76" spans="1:7" s="1" customFormat="1"/>
    <row r="77" spans="1:7" s="1" customFormat="1">
      <c r="A77" s="2"/>
    </row>
    <row r="78" spans="1:7" s="1" customFormat="1">
      <c r="B78" s="25"/>
    </row>
    <row r="79" spans="1:7" s="1" customFormat="1"/>
    <row r="80" spans="1:7" s="1" customFormat="1">
      <c r="B80" s="15"/>
    </row>
    <row r="81" spans="2:2" s="1" customFormat="1">
      <c r="B81" s="15"/>
    </row>
    <row r="82" spans="2:2" s="1" customFormat="1">
      <c r="B82" s="15"/>
    </row>
    <row r="83" spans="2:2" s="1" customFormat="1"/>
    <row r="84" spans="2:2" s="1" customFormat="1"/>
    <row r="85" spans="2:2" s="1" customFormat="1">
      <c r="B85" s="26"/>
    </row>
    <row r="86" spans="2:2" s="1" customFormat="1">
      <c r="B86" s="26"/>
    </row>
    <row r="87" spans="2:2" s="1" customFormat="1">
      <c r="B87" s="9"/>
    </row>
    <row r="88" spans="2:2" s="1" customFormat="1"/>
    <row r="89" spans="2:2" s="1" customFormat="1"/>
    <row r="90" spans="2:2" s="1" customFormat="1"/>
    <row r="125" spans="5:7">
      <c r="E125" s="27"/>
    </row>
    <row r="126" spans="5:7">
      <c r="E126" s="28"/>
    </row>
    <row r="127" spans="5:7">
      <c r="E127" s="28"/>
      <c r="G127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B11" sqref="B11"/>
    </sheetView>
  </sheetViews>
  <sheetFormatPr defaultColWidth="8.6640625" defaultRowHeight="15.05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0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45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90</v>
      </c>
      <c r="C6" s="1" t="s">
        <v>11</v>
      </c>
      <c r="D6" s="1" t="s">
        <v>12</v>
      </c>
      <c r="E6" s="3">
        <v>55</v>
      </c>
      <c r="F6" s="1" t="s">
        <v>13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5" t="s">
        <v>16</v>
      </c>
      <c r="E7" s="6"/>
      <c r="F7" s="6"/>
      <c r="G7" s="1"/>
      <c r="H7" s="1"/>
    </row>
    <row r="8" spans="1:8">
      <c r="A8" s="1" t="s">
        <v>17</v>
      </c>
      <c r="B8" s="7">
        <f>0.622*B6/100*B7/(101325-B6/100*B7)</f>
        <v>3.3856034266667528E-3</v>
      </c>
      <c r="C8" s="1" t="s">
        <v>18</v>
      </c>
      <c r="D8" s="1" t="s">
        <v>19</v>
      </c>
      <c r="E8" s="8">
        <f>E6/1000/(2501+1.9*$B$18)</f>
        <v>2.1662071681764474E-5</v>
      </c>
      <c r="F8" s="1" t="s">
        <v>20</v>
      </c>
      <c r="G8" s="9">
        <f>E8*3600*1000</f>
        <v>77.983458054352113</v>
      </c>
      <c r="H8" s="1" t="s">
        <v>21</v>
      </c>
    </row>
    <row r="9" spans="1:8">
      <c r="A9" s="1" t="s">
        <v>22</v>
      </c>
      <c r="B9" s="10">
        <f>1.006*B5+B8*(2501+1.805*B5)</f>
        <v>8.4673941700935487</v>
      </c>
      <c r="C9" s="1" t="s">
        <v>23</v>
      </c>
      <c r="D9" s="1" t="s">
        <v>24</v>
      </c>
      <c r="E9" s="11">
        <f>E8*E4</f>
        <v>9.7479322567940133E-4</v>
      </c>
      <c r="F9" s="1" t="s">
        <v>20</v>
      </c>
      <c r="G9" s="1"/>
      <c r="H9" s="1"/>
    </row>
    <row r="10" spans="1:8" ht="13.25" customHeight="1">
      <c r="A10" s="1"/>
      <c r="B10" s="1"/>
      <c r="C10" s="1"/>
      <c r="D10" s="12" t="s">
        <v>25</v>
      </c>
      <c r="E10" s="8">
        <f>E9/B34</f>
        <v>6.5050877945836E-4</v>
      </c>
      <c r="G10" s="6" t="s">
        <v>26</v>
      </c>
    </row>
    <row r="11" spans="1:8" s="1" customFormat="1">
      <c r="A11" s="1" t="s">
        <v>27</v>
      </c>
      <c r="B11" s="3">
        <f>-18000+65*E4</f>
        <v>-15075</v>
      </c>
      <c r="C11" s="1" t="s">
        <v>13</v>
      </c>
      <c r="D11" s="1" t="s">
        <v>28</v>
      </c>
      <c r="E11" s="13">
        <f>B21-E10</f>
        <v>6.6059908514094568E-3</v>
      </c>
      <c r="G11" s="6" t="s">
        <v>29</v>
      </c>
    </row>
    <row r="12" spans="1:8" s="1" customFormat="1">
      <c r="A12" s="1" t="s">
        <v>30</v>
      </c>
      <c r="B12" s="30">
        <f>B11/(B11+B13)</f>
        <v>1.1964285714285714</v>
      </c>
      <c r="E12" s="13"/>
      <c r="G12" s="6"/>
    </row>
    <row r="13" spans="1:8" s="1" customFormat="1">
      <c r="A13" s="1" t="s">
        <v>31</v>
      </c>
      <c r="B13" s="14">
        <f>E4*E6</f>
        <v>2475</v>
      </c>
      <c r="C13" s="1" t="s">
        <v>13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5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-15075</v>
      </c>
      <c r="C25" s="1" t="s">
        <v>13</v>
      </c>
    </row>
    <row r="26" spans="1:5" s="1" customFormat="1">
      <c r="A26" s="1" t="s">
        <v>47</v>
      </c>
      <c r="B26" s="9">
        <f>B13</f>
        <v>2475</v>
      </c>
      <c r="C26" s="1" t="s">
        <v>13</v>
      </c>
    </row>
    <row r="27" spans="1:5" s="1" customFormat="1">
      <c r="A27" s="17" t="s">
        <v>48</v>
      </c>
      <c r="B27" s="8">
        <f>B25+B26</f>
        <v>-12600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1.1964285714285714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10</v>
      </c>
      <c r="C30" s="1" t="s">
        <v>6</v>
      </c>
    </row>
    <row r="31" spans="1:5" s="1" customFormat="1">
      <c r="A31" s="1" t="s">
        <v>51</v>
      </c>
      <c r="B31" s="19">
        <f>B18+B30</f>
        <v>30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1.4985089463220675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-8.4083582089552245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46.938823422429962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6.5540959806139861E-3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46.945377518410581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4239.9579999999996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1056.5419579354618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24.918689240210913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45</v>
      </c>
    </row>
    <row r="46" spans="1:8" s="1" customFormat="1">
      <c r="A46" s="1" t="s">
        <v>73</v>
      </c>
      <c r="B46" s="8">
        <f>B45*H44</f>
        <v>0.378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1.4985089463220675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1.4985089463220675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8.4673941700935487</v>
      </c>
      <c r="C55" s="1" t="s">
        <v>23</v>
      </c>
    </row>
    <row r="56" spans="1:4" s="1" customFormat="1">
      <c r="A56" s="1" t="s">
        <v>83</v>
      </c>
      <c r="B56" s="7">
        <f>(B8*$B$51+B21*$B$50)/$B$49</f>
        <v>3.3856034266667528E-3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548.53560000000004</v>
      </c>
      <c r="C58" s="1" t="s">
        <v>15</v>
      </c>
    </row>
    <row r="59" spans="1:4" s="1" customFormat="1">
      <c r="A59" s="1" t="s">
        <v>86</v>
      </c>
      <c r="B59" s="21">
        <f>B58/B57*100</f>
        <v>90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46.938823422429962</v>
      </c>
      <c r="C62" s="1" t="s">
        <v>23</v>
      </c>
    </row>
    <row r="63" spans="1:4" s="1" customFormat="1">
      <c r="A63" s="1" t="s">
        <v>89</v>
      </c>
      <c r="B63" s="22">
        <f>B8</f>
        <v>3.3856034266667528E-3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38.575408632047321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6729.0934634374998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548.53560000000004</v>
      </c>
      <c r="D66" s="5" t="s">
        <v>66</v>
      </c>
    </row>
    <row r="67" spans="1:7" s="1" customFormat="1">
      <c r="A67" s="1" t="s">
        <v>93</v>
      </c>
      <c r="B67" s="21">
        <f>B66/B65*100</f>
        <v>8.1517013098490292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57.649780912422607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4.7480144384447857E-3</v>
      </c>
      <c r="C74" s="1" t="s">
        <v>54</v>
      </c>
      <c r="D74" s="10">
        <f>B74*3600</f>
        <v>17.092851978401228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H44" sqref="H44"/>
    </sheetView>
  </sheetViews>
  <sheetFormatPr defaultColWidth="8.6640625" defaultRowHeight="15.05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1" customWidth="1"/>
    <col min="10" max="37" width="8.88671875" style="1" customWidth="1"/>
  </cols>
  <sheetData>
    <row r="1" spans="1:8">
      <c r="A1" s="2" t="s">
        <v>129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</v>
      </c>
      <c r="B3" s="1"/>
      <c r="C3" s="1"/>
      <c r="D3" s="1"/>
      <c r="E3" s="1"/>
      <c r="F3" s="1"/>
      <c r="G3" s="1"/>
      <c r="H3" s="1"/>
    </row>
    <row r="4" spans="1:8">
      <c r="A4" s="1" t="s">
        <v>2</v>
      </c>
      <c r="B4" s="1"/>
      <c r="C4" s="1"/>
      <c r="D4" s="1" t="s">
        <v>3</v>
      </c>
      <c r="E4" s="3">
        <v>45</v>
      </c>
      <c r="F4" s="1" t="s">
        <v>4</v>
      </c>
      <c r="G4" s="1"/>
      <c r="H4" s="1"/>
    </row>
    <row r="5" spans="1:8">
      <c r="A5" s="1" t="s">
        <v>5</v>
      </c>
      <c r="B5" s="3">
        <v>0</v>
      </c>
      <c r="C5" s="1" t="s">
        <v>6</v>
      </c>
      <c r="D5" s="1" t="s">
        <v>130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10</v>
      </c>
      <c r="B6" s="3">
        <v>90</v>
      </c>
      <c r="C6" s="1" t="s">
        <v>11</v>
      </c>
      <c r="D6" s="1" t="s">
        <v>131</v>
      </c>
      <c r="E6">
        <f>E5/1000*1.2*E4</f>
        <v>0.378</v>
      </c>
      <c r="F6" s="1" t="s">
        <v>54</v>
      </c>
      <c r="G6" s="1"/>
      <c r="H6" s="1"/>
    </row>
    <row r="7" spans="1:8">
      <c r="A7" s="1" t="s">
        <v>14</v>
      </c>
      <c r="B7" s="4">
        <f>0.0496965*B5^3+0.979515*B5^2+46.9035*B5+609.484</f>
        <v>609.48400000000004</v>
      </c>
      <c r="C7" s="1" t="s">
        <v>15</v>
      </c>
      <c r="D7" s="1" t="s">
        <v>12</v>
      </c>
      <c r="E7" s="3">
        <v>95</v>
      </c>
      <c r="F7" s="1" t="s">
        <v>13</v>
      </c>
      <c r="G7" s="1"/>
      <c r="H7" s="1"/>
    </row>
    <row r="8" spans="1:8">
      <c r="A8" s="1" t="s">
        <v>17</v>
      </c>
      <c r="B8" s="7">
        <f>0.622*B6/100*B7/(101325-B6/100*B7)</f>
        <v>3.3856034266667528E-3</v>
      </c>
      <c r="C8" s="1" t="s">
        <v>18</v>
      </c>
      <c r="D8" s="1" t="s">
        <v>132</v>
      </c>
      <c r="E8" s="3">
        <v>90</v>
      </c>
      <c r="F8" s="1" t="s">
        <v>13</v>
      </c>
      <c r="G8" s="1"/>
      <c r="H8" s="1"/>
    </row>
    <row r="9" spans="1:8">
      <c r="A9" s="1" t="s">
        <v>22</v>
      </c>
      <c r="B9" s="10">
        <f>1.006*B5+B8*(2501+1.805*B5)</f>
        <v>8.4673941700935487</v>
      </c>
      <c r="C9" s="1" t="s">
        <v>23</v>
      </c>
      <c r="D9" s="5" t="s">
        <v>16</v>
      </c>
      <c r="E9" s="6"/>
      <c r="F9" s="6"/>
      <c r="G9" s="1"/>
      <c r="H9" s="1"/>
    </row>
    <row r="10" spans="1:8" ht="13.25" customHeight="1">
      <c r="A10" s="1"/>
      <c r="B10" s="1"/>
      <c r="C10" s="1"/>
      <c r="D10" s="1" t="s">
        <v>19</v>
      </c>
      <c r="E10" s="8">
        <f>E7/1000/(2501+1.9*$B$18)</f>
        <v>3.7416305632138639E-5</v>
      </c>
      <c r="F10" s="1" t="s">
        <v>20</v>
      </c>
      <c r="G10" s="9">
        <f>E10*3600*1000</f>
        <v>134.69870027569911</v>
      </c>
      <c r="H10" s="1" t="s">
        <v>21</v>
      </c>
    </row>
    <row r="11" spans="1:8" s="1" customFormat="1">
      <c r="A11" s="1" t="s">
        <v>133</v>
      </c>
      <c r="B11" s="3">
        <f>-18000+E8*E4</f>
        <v>-13950</v>
      </c>
      <c r="C11" s="1" t="s">
        <v>13</v>
      </c>
      <c r="D11" s="1" t="s">
        <v>24</v>
      </c>
      <c r="E11" s="11">
        <f>E10*E4</f>
        <v>1.6837337534462388E-3</v>
      </c>
      <c r="F11" s="1" t="s">
        <v>20</v>
      </c>
    </row>
    <row r="12" spans="1:8" s="1" customFormat="1">
      <c r="A12" s="1" t="s">
        <v>134</v>
      </c>
      <c r="B12" s="14">
        <f>E4*E7</f>
        <v>4275</v>
      </c>
      <c r="C12" s="1" t="s">
        <v>13</v>
      </c>
      <c r="D12" s="12" t="s">
        <v>25</v>
      </c>
      <c r="E12" s="8">
        <f>E11/B34</f>
        <v>1.2142194666429507E-3</v>
      </c>
      <c r="G12" s="6" t="s">
        <v>26</v>
      </c>
    </row>
    <row r="13" spans="1:8" s="1" customFormat="1">
      <c r="A13" s="1" t="s">
        <v>30</v>
      </c>
      <c r="B13" s="30">
        <f>B11/(B11+B12)</f>
        <v>1.441860465116279</v>
      </c>
      <c r="D13" s="1" t="s">
        <v>28</v>
      </c>
      <c r="E13" s="13">
        <f>B21-E12</f>
        <v>6.042280164224866E-3</v>
      </c>
      <c r="G13" s="6" t="s">
        <v>29</v>
      </c>
    </row>
    <row r="14" spans="1:8" s="1" customFormat="1"/>
    <row r="15" spans="1:8" s="1" customFormat="1">
      <c r="A15" s="2" t="s">
        <v>32</v>
      </c>
      <c r="B15" s="15"/>
    </row>
    <row r="16" spans="1:8" s="1" customFormat="1" ht="13.25" customHeight="1"/>
    <row r="17" spans="1:5" s="1" customFormat="1">
      <c r="A17" s="1" t="s">
        <v>33</v>
      </c>
      <c r="E17" s="9"/>
    </row>
    <row r="18" spans="1:5" s="1" customFormat="1" ht="14.4" customHeight="1">
      <c r="A18" s="1" t="s">
        <v>34</v>
      </c>
      <c r="B18" s="3">
        <v>20</v>
      </c>
      <c r="C18" s="1" t="s">
        <v>6</v>
      </c>
    </row>
    <row r="19" spans="1:5" s="1" customFormat="1" ht="14.4" customHeight="1">
      <c r="A19" s="1" t="s">
        <v>35</v>
      </c>
      <c r="B19" s="3">
        <v>50</v>
      </c>
      <c r="C19" s="1" t="s">
        <v>11</v>
      </c>
      <c r="D19" s="5" t="s">
        <v>36</v>
      </c>
    </row>
    <row r="20" spans="1:5" s="1" customFormat="1" ht="14.4" customHeight="1">
      <c r="A20" s="1" t="s">
        <v>37</v>
      </c>
      <c r="B20" s="4">
        <f>0.0496965*B18^3+0.979515*B18^2+46.9035*B18+609.484</f>
        <v>2336.9319999999998</v>
      </c>
      <c r="C20" s="1" t="s">
        <v>38</v>
      </c>
      <c r="D20" s="5" t="s">
        <v>39</v>
      </c>
    </row>
    <row r="21" spans="1:5" s="1" customFormat="1" ht="14.4" customHeight="1">
      <c r="A21" s="1" t="s">
        <v>40</v>
      </c>
      <c r="B21" s="16">
        <f>0.622*B19/100*B20/(101325-B19/100*B20)</f>
        <v>7.2564996308678168E-3</v>
      </c>
      <c r="C21" s="1" t="s">
        <v>41</v>
      </c>
      <c r="D21" s="5" t="s">
        <v>42</v>
      </c>
    </row>
    <row r="22" spans="1:5" s="1" customFormat="1" ht="14.4" customHeight="1">
      <c r="A22" s="1" t="s">
        <v>43</v>
      </c>
      <c r="B22" s="10">
        <f>1.006*B18+B21*(2501+1.805*B18)</f>
        <v>38.530465213474741</v>
      </c>
      <c r="C22" s="1" t="s">
        <v>23</v>
      </c>
      <c r="D22" s="5" t="s">
        <v>44</v>
      </c>
    </row>
    <row r="23" spans="1:5" s="1" customFormat="1" ht="14.4" customHeight="1">
      <c r="E23" s="15"/>
    </row>
    <row r="24" spans="1:5" s="1" customFormat="1">
      <c r="A24" s="2" t="s">
        <v>45</v>
      </c>
    </row>
    <row r="25" spans="1:5" s="1" customFormat="1">
      <c r="A25" s="1" t="s">
        <v>46</v>
      </c>
      <c r="B25" s="1">
        <f>B11</f>
        <v>-13950</v>
      </c>
      <c r="C25" s="1" t="s">
        <v>13</v>
      </c>
    </row>
    <row r="26" spans="1:5" s="1" customFormat="1">
      <c r="A26" s="1" t="s">
        <v>47</v>
      </c>
      <c r="B26" s="9">
        <f>B12</f>
        <v>4275</v>
      </c>
      <c r="C26" s="1" t="s">
        <v>13</v>
      </c>
    </row>
    <row r="27" spans="1:5" s="1" customFormat="1">
      <c r="A27" s="17" t="s">
        <v>48</v>
      </c>
      <c r="B27" s="8">
        <f>B25+B26</f>
        <v>-9675</v>
      </c>
      <c r="C27" s="1" t="s">
        <v>13</v>
      </c>
      <c r="D27" s="18"/>
      <c r="E27" s="15"/>
    </row>
    <row r="28" spans="1:5" s="1" customFormat="1">
      <c r="A28" s="17" t="s">
        <v>49</v>
      </c>
      <c r="B28" s="10">
        <f>B25/(B25+B26)</f>
        <v>1.441860465116279</v>
      </c>
      <c r="D28" s="18"/>
      <c r="E28" s="15"/>
    </row>
    <row r="29" spans="1:5" s="1" customFormat="1">
      <c r="B29" s="15"/>
    </row>
    <row r="30" spans="1:5" s="1" customFormat="1">
      <c r="A30" s="1" t="s">
        <v>50</v>
      </c>
      <c r="B30" s="3">
        <v>10</v>
      </c>
      <c r="C30" s="1" t="s">
        <v>6</v>
      </c>
    </row>
    <row r="31" spans="1:5" s="1" customFormat="1">
      <c r="A31" s="1" t="s">
        <v>51</v>
      </c>
      <c r="B31" s="19">
        <f>B18+B30</f>
        <v>30</v>
      </c>
      <c r="C31" s="1" t="s">
        <v>6</v>
      </c>
    </row>
    <row r="32" spans="1:5" s="1" customFormat="1"/>
    <row r="33" spans="1:8" s="1" customFormat="1">
      <c r="A33" s="1" t="s">
        <v>52</v>
      </c>
      <c r="B33" s="15"/>
    </row>
    <row r="34" spans="1:8" s="1" customFormat="1">
      <c r="A34" s="1" t="s">
        <v>53</v>
      </c>
      <c r="B34" s="15">
        <f>ABS(B25/(1006*(B18-B31)))</f>
        <v>1.3866799204771372</v>
      </c>
      <c r="C34" s="1" t="s">
        <v>54</v>
      </c>
      <c r="D34" s="5" t="s">
        <v>55</v>
      </c>
    </row>
    <row r="35" spans="1:8" s="1" customFormat="1">
      <c r="A35" s="20" t="s">
        <v>56</v>
      </c>
      <c r="B35" s="9">
        <f>B27/B34/1000</f>
        <v>-6.9770967741935479</v>
      </c>
      <c r="C35" s="1" t="s">
        <v>23</v>
      </c>
      <c r="D35" s="5" t="s">
        <v>57</v>
      </c>
    </row>
    <row r="36" spans="1:8" s="1" customFormat="1">
      <c r="A36" s="1" t="s">
        <v>58</v>
      </c>
      <c r="B36" s="15">
        <f>B22-B35</f>
        <v>45.507561987668289</v>
      </c>
      <c r="C36" s="1" t="s">
        <v>23</v>
      </c>
      <c r="D36" s="5" t="s">
        <v>59</v>
      </c>
    </row>
    <row r="37" spans="1:8" s="1" customFormat="1">
      <c r="A37" s="1" t="s">
        <v>28</v>
      </c>
      <c r="B37" s="16">
        <f>(B36-1.006*B31)/(2500+1.9*B31)</f>
        <v>5.994353534481146E-3</v>
      </c>
      <c r="C37" s="1" t="s">
        <v>60</v>
      </c>
      <c r="D37" s="5" t="s">
        <v>42</v>
      </c>
    </row>
    <row r="38" spans="1:8" s="1" customFormat="1">
      <c r="A38" s="1" t="s">
        <v>58</v>
      </c>
      <c r="B38" s="10">
        <f>(1.006+1.9*B37)*B31+2501*B37</f>
        <v>45.513556341202772</v>
      </c>
      <c r="C38" s="1" t="s">
        <v>61</v>
      </c>
      <c r="D38" s="5" t="s">
        <v>62</v>
      </c>
    </row>
    <row r="39" spans="1:8" s="1" customFormat="1">
      <c r="A39" s="1" t="s">
        <v>63</v>
      </c>
      <c r="B39" s="4">
        <f>0.0496965*$B$31^3+0.979515*$B$31^2+46.9035*$B$31+609.484</f>
        <v>4239.9579999999996</v>
      </c>
      <c r="C39" s="1" t="s">
        <v>15</v>
      </c>
      <c r="D39" s="5" t="s">
        <v>39</v>
      </c>
    </row>
    <row r="40" spans="1:8" s="1" customFormat="1">
      <c r="A40" s="1" t="s">
        <v>64</v>
      </c>
      <c r="B40" s="4">
        <f>101325*B37/(0.622+B37)</f>
        <v>967.17091238616194</v>
      </c>
      <c r="C40" s="1" t="s">
        <v>65</v>
      </c>
      <c r="D40" s="5" t="s">
        <v>66</v>
      </c>
    </row>
    <row r="41" spans="1:8" s="1" customFormat="1">
      <c r="A41" s="1" t="s">
        <v>67</v>
      </c>
      <c r="B41" s="21">
        <f>B40/B39*100</f>
        <v>22.810860682727565</v>
      </c>
      <c r="C41" s="1" t="s">
        <v>11</v>
      </c>
      <c r="D41" s="5" t="s">
        <v>68</v>
      </c>
    </row>
    <row r="42" spans="1:8" s="1" customFormat="1"/>
    <row r="43" spans="1:8" s="1" customFormat="1">
      <c r="A43" s="2" t="s">
        <v>69</v>
      </c>
    </row>
    <row r="44" spans="1:8" s="1" customFormat="1">
      <c r="A44" s="1" t="s">
        <v>70</v>
      </c>
      <c r="B44" s="1">
        <v>7</v>
      </c>
      <c r="C44" s="1" t="s">
        <v>8</v>
      </c>
      <c r="D44" s="1">
        <f>B44*3.6</f>
        <v>25.2</v>
      </c>
      <c r="E44" s="1" t="s">
        <v>9</v>
      </c>
      <c r="F44" s="1">
        <f>1.2*D44</f>
        <v>30.24</v>
      </c>
      <c r="G44" s="1" t="s">
        <v>71</v>
      </c>
      <c r="H44" s="22">
        <f>F44/3600</f>
        <v>8.3999999999999995E-3</v>
      </c>
    </row>
    <row r="45" spans="1:8" s="1" customFormat="1">
      <c r="A45" s="1" t="s">
        <v>72</v>
      </c>
      <c r="B45" s="1">
        <f>E4</f>
        <v>45</v>
      </c>
    </row>
    <row r="46" spans="1:8" s="1" customFormat="1">
      <c r="A46" s="1" t="s">
        <v>73</v>
      </c>
      <c r="B46" s="8">
        <f>B45*H44</f>
        <v>0.378</v>
      </c>
      <c r="C46" s="1" t="s">
        <v>74</v>
      </c>
    </row>
    <row r="47" spans="1:8" s="1" customFormat="1"/>
    <row r="48" spans="1:8" s="1" customFormat="1">
      <c r="A48" s="1" t="s">
        <v>75</v>
      </c>
    </row>
    <row r="49" spans="1:4" s="1" customFormat="1">
      <c r="A49" s="1" t="s">
        <v>76</v>
      </c>
      <c r="B49" s="23">
        <f>B34</f>
        <v>1.3866799204771372</v>
      </c>
      <c r="C49" s="1" t="s">
        <v>74</v>
      </c>
    </row>
    <row r="50" spans="1:4" s="1" customFormat="1">
      <c r="A50" s="1" t="s">
        <v>77</v>
      </c>
      <c r="B50" s="24">
        <f>B49*0</f>
        <v>0</v>
      </c>
      <c r="C50" s="1" t="s">
        <v>74</v>
      </c>
    </row>
    <row r="51" spans="1:4" s="1" customFormat="1">
      <c r="A51" s="1" t="s">
        <v>78</v>
      </c>
      <c r="B51" s="24">
        <f>B49-B50</f>
        <v>1.3866799204771372</v>
      </c>
      <c r="C51" s="1" t="s">
        <v>79</v>
      </c>
    </row>
    <row r="52" spans="1:4" s="1" customFormat="1"/>
    <row r="53" spans="1:4" s="1" customFormat="1">
      <c r="A53" s="2" t="s">
        <v>80</v>
      </c>
    </row>
    <row r="54" spans="1:4" s="1" customFormat="1">
      <c r="A54" s="1" t="s">
        <v>81</v>
      </c>
      <c r="B54" s="21">
        <f>(B5*$B$51+B18*$B$50)/$B$49</f>
        <v>0</v>
      </c>
      <c r="C54" s="1" t="s">
        <v>6</v>
      </c>
    </row>
    <row r="55" spans="1:4" s="1" customFormat="1">
      <c r="A55" s="1" t="s">
        <v>82</v>
      </c>
      <c r="B55" s="21">
        <f>(B9*$B$51+B22*$B$50)/$B$49</f>
        <v>8.4673941700935487</v>
      </c>
      <c r="C55" s="1" t="s">
        <v>23</v>
      </c>
    </row>
    <row r="56" spans="1:4" s="1" customFormat="1">
      <c r="A56" s="1" t="s">
        <v>83</v>
      </c>
      <c r="B56" s="7">
        <f>(B8*$B$51+B21*$B$50)/$B$49</f>
        <v>3.3856034266667523E-3</v>
      </c>
      <c r="C56" s="1" t="s">
        <v>84</v>
      </c>
    </row>
    <row r="57" spans="1:4" s="1" customFormat="1">
      <c r="A57" s="1" t="s">
        <v>63</v>
      </c>
      <c r="B57" s="4">
        <f>0.0496965*B54^3+0.979515*B54^2+46.9035*B54+609.484</f>
        <v>609.48400000000004</v>
      </c>
      <c r="C57" s="1" t="s">
        <v>15</v>
      </c>
    </row>
    <row r="58" spans="1:4" s="1" customFormat="1">
      <c r="A58" s="1" t="s">
        <v>85</v>
      </c>
      <c r="B58" s="4">
        <f>101325*B56/(0.622+B56)</f>
        <v>548.53559999999993</v>
      </c>
      <c r="C58" s="1" t="s">
        <v>15</v>
      </c>
    </row>
    <row r="59" spans="1:4" s="1" customFormat="1">
      <c r="A59" s="1" t="s">
        <v>86</v>
      </c>
      <c r="B59" s="21">
        <f>B58/B57*100</f>
        <v>89.999999999999986</v>
      </c>
      <c r="C59" s="1" t="s">
        <v>11</v>
      </c>
    </row>
    <row r="60" spans="1:4" s="1" customFormat="1"/>
    <row r="61" spans="1:4" s="1" customFormat="1">
      <c r="A61" s="2" t="s">
        <v>87</v>
      </c>
    </row>
    <row r="62" spans="1:4" s="1" customFormat="1">
      <c r="A62" s="1" t="s">
        <v>88</v>
      </c>
      <c r="B62" s="15">
        <f>B36</f>
        <v>45.507561987668289</v>
      </c>
      <c r="C62" s="1" t="s">
        <v>23</v>
      </c>
    </row>
    <row r="63" spans="1:4" s="1" customFormat="1">
      <c r="A63" s="1" t="s">
        <v>89</v>
      </c>
      <c r="B63" s="22">
        <f>B8</f>
        <v>3.3856034266667528E-3</v>
      </c>
      <c r="C63" s="1" t="s">
        <v>84</v>
      </c>
      <c r="D63" s="5" t="s">
        <v>66</v>
      </c>
    </row>
    <row r="64" spans="1:4" s="1" customFormat="1">
      <c r="A64" s="1" t="s">
        <v>90</v>
      </c>
      <c r="B64" s="22">
        <f>B62-2501*B63/(1.006+1.9*B63)</f>
        <v>37.144147197285648</v>
      </c>
      <c r="C64" s="1" t="s">
        <v>6</v>
      </c>
      <c r="D64" s="5" t="s">
        <v>62</v>
      </c>
    </row>
    <row r="65" spans="1:7" s="1" customFormat="1">
      <c r="A65" s="1" t="s">
        <v>91</v>
      </c>
      <c r="B65" s="4">
        <f>0.0496965*B64^3+0.979515*B64^2+46.9035*B64+609.484</f>
        <v>6249.9118118530005</v>
      </c>
      <c r="C65" s="1" t="s">
        <v>15</v>
      </c>
      <c r="D65" s="5" t="s">
        <v>39</v>
      </c>
    </row>
    <row r="66" spans="1:7" s="1" customFormat="1">
      <c r="A66" s="1" t="s">
        <v>92</v>
      </c>
      <c r="B66" s="4">
        <f>101325*B63/(0.622+B63)</f>
        <v>548.53560000000004</v>
      </c>
      <c r="D66" s="5" t="s">
        <v>66</v>
      </c>
    </row>
    <row r="67" spans="1:7" s="1" customFormat="1">
      <c r="A67" s="1" t="s">
        <v>93</v>
      </c>
      <c r="B67" s="21">
        <f>B66/B65*100</f>
        <v>8.7766934400530037</v>
      </c>
      <c r="C67" s="1" t="s">
        <v>11</v>
      </c>
      <c r="D67" s="5" t="s">
        <v>68</v>
      </c>
    </row>
    <row r="68" spans="1:7" s="1" customFormat="1"/>
    <row r="69" spans="1:7" s="1" customFormat="1"/>
    <row r="70" spans="1:7" s="1" customFormat="1">
      <c r="A70" s="2" t="s">
        <v>94</v>
      </c>
    </row>
    <row r="71" spans="1:7" s="1" customFormat="1">
      <c r="A71" s="1" t="s">
        <v>95</v>
      </c>
      <c r="B71" s="21">
        <f>B49*(B62-B9)</f>
        <v>51.362856963734359</v>
      </c>
      <c r="C71" s="1" t="s">
        <v>96</v>
      </c>
    </row>
    <row r="72" spans="1:7" s="1" customFormat="1">
      <c r="B72" s="21"/>
      <c r="G72" s="15"/>
    </row>
    <row r="73" spans="1:7" s="1" customFormat="1">
      <c r="A73" s="2" t="s">
        <v>97</v>
      </c>
      <c r="G73" s="15"/>
    </row>
    <row r="74" spans="1:7" s="1" customFormat="1">
      <c r="A74" s="1" t="s">
        <v>98</v>
      </c>
      <c r="B74" s="8">
        <f>B49*(B37-B63)</f>
        <v>3.6175013920487858E-3</v>
      </c>
      <c r="C74" s="1" t="s">
        <v>54</v>
      </c>
      <c r="D74" s="10">
        <f>B74*3600</f>
        <v>13.023005011375629</v>
      </c>
      <c r="E74" s="1" t="s">
        <v>71</v>
      </c>
    </row>
    <row r="75" spans="1:7" s="1" customFormat="1">
      <c r="D75" s="15"/>
    </row>
    <row r="76" spans="1:7" s="1" customFormat="1"/>
    <row r="77" spans="1:7" s="1" customFormat="1"/>
    <row r="78" spans="1:7" s="1" customFormat="1">
      <c r="A78" s="2"/>
    </row>
    <row r="79" spans="1:7" s="1" customFormat="1">
      <c r="B79" s="25"/>
    </row>
    <row r="80" spans="1:7" s="1" customFormat="1"/>
    <row r="81" spans="2:2" s="1" customFormat="1">
      <c r="B81" s="15"/>
    </row>
    <row r="82" spans="2:2" s="1" customFormat="1">
      <c r="B82" s="15"/>
    </row>
    <row r="83" spans="2:2" s="1" customFormat="1">
      <c r="B83" s="15"/>
    </row>
    <row r="84" spans="2:2" s="1" customFormat="1"/>
    <row r="85" spans="2:2" s="1" customFormat="1"/>
    <row r="86" spans="2:2" s="1" customFormat="1">
      <c r="B86" s="26"/>
    </row>
    <row r="87" spans="2:2" s="1" customFormat="1">
      <c r="B87" s="26"/>
    </row>
    <row r="88" spans="2:2" s="1" customFormat="1">
      <c r="B88" s="9"/>
    </row>
    <row r="89" spans="2:2" s="1" customFormat="1"/>
    <row r="90" spans="2:2" s="1" customFormat="1"/>
    <row r="91" spans="2:2" s="1" customFormat="1"/>
    <row r="126" spans="5:7">
      <c r="E126" s="27"/>
    </row>
    <row r="127" spans="5:7">
      <c r="E127" s="28"/>
    </row>
    <row r="128" spans="5:7">
      <c r="E128" s="28"/>
      <c r="G128" s="29"/>
    </row>
  </sheetData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15"/>
  <sheetViews>
    <sheetView topLeftCell="A37" zoomScaleNormal="100" workbookViewId="0">
      <selection activeCell="I60" sqref="I60"/>
    </sheetView>
  </sheetViews>
  <sheetFormatPr defaultColWidth="8.6640625" defaultRowHeight="15.05"/>
  <cols>
    <col min="1" max="1" width="19.88671875" customWidth="1"/>
    <col min="2" max="2" width="11.44140625" bestFit="1" customWidth="1"/>
    <col min="3" max="3" width="11.21875" customWidth="1"/>
    <col min="4" max="4" width="13.44140625" customWidth="1"/>
    <col min="5" max="5" width="8.88671875" customWidth="1"/>
    <col min="6" max="6" width="7.88671875" customWidth="1"/>
    <col min="7" max="7" width="7.21875" customWidth="1"/>
    <col min="8" max="8" width="9" customWidth="1"/>
    <col min="9" max="9" width="10.33203125" style="1" customWidth="1"/>
    <col min="10" max="21" width="8.6640625" style="32"/>
  </cols>
  <sheetData>
    <row r="1" spans="1:8">
      <c r="A1" s="2" t="s">
        <v>135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136</v>
      </c>
      <c r="B3" s="1"/>
      <c r="C3" s="1"/>
      <c r="D3" s="1"/>
      <c r="E3" s="1"/>
      <c r="F3" s="1"/>
      <c r="G3" s="1"/>
      <c r="H3" s="1"/>
    </row>
    <row r="4" spans="1:8">
      <c r="A4" s="35" t="s">
        <v>137</v>
      </c>
      <c r="B4" s="1"/>
      <c r="C4" s="1"/>
      <c r="D4" s="1" t="s">
        <v>3</v>
      </c>
      <c r="E4" s="3">
        <v>25</v>
      </c>
      <c r="F4" s="1" t="s">
        <v>138</v>
      </c>
      <c r="G4" s="1"/>
      <c r="H4" s="1"/>
    </row>
    <row r="5" spans="1:8">
      <c r="A5" s="1" t="s">
        <v>5</v>
      </c>
      <c r="B5" s="3">
        <v>32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139</v>
      </c>
      <c r="B6" s="3">
        <v>60</v>
      </c>
      <c r="C6" s="1" t="s">
        <v>11</v>
      </c>
      <c r="D6" t="s">
        <v>156</v>
      </c>
      <c r="E6" s="47">
        <f>1.2*E5/1000*E4</f>
        <v>0.21000000000000002</v>
      </c>
      <c r="F6" s="32" t="s">
        <v>54</v>
      </c>
      <c r="G6" s="33"/>
      <c r="H6" s="33"/>
    </row>
    <row r="7" spans="1:8">
      <c r="A7" s="1" t="s">
        <v>14</v>
      </c>
      <c r="B7" s="4">
        <f>0.0496965*B5^3+0.979515*B5^2+46.9035*B5+609.484</f>
        <v>4741.874272</v>
      </c>
      <c r="C7" s="1" t="s">
        <v>15</v>
      </c>
      <c r="D7" s="1" t="s">
        <v>12</v>
      </c>
      <c r="E7" s="34">
        <v>95</v>
      </c>
      <c r="F7" s="32"/>
      <c r="G7" s="33"/>
      <c r="H7" s="33"/>
    </row>
    <row r="8" spans="1:8">
      <c r="A8" s="1" t="s">
        <v>17</v>
      </c>
      <c r="B8" s="7">
        <f>0.622*B6/100*B7/(101325-B6/100*B7)</f>
        <v>1.7969838715383976E-2</v>
      </c>
      <c r="C8" s="1" t="s">
        <v>60</v>
      </c>
      <c r="D8" t="s">
        <v>132</v>
      </c>
      <c r="E8" s="32">
        <v>90</v>
      </c>
      <c r="F8" s="33" t="s">
        <v>13</v>
      </c>
      <c r="G8" s="33"/>
      <c r="H8" s="33"/>
    </row>
    <row r="9" spans="1:8">
      <c r="A9" s="1" t="s">
        <v>22</v>
      </c>
      <c r="B9" s="10">
        <f>1.006*B5+B8*(2501+1.805*B5)</f>
        <v>78.172504511375905</v>
      </c>
      <c r="C9" s="1" t="s">
        <v>23</v>
      </c>
      <c r="D9" s="43"/>
      <c r="E9" s="44"/>
      <c r="F9" s="44"/>
      <c r="G9" s="33"/>
      <c r="H9" s="33"/>
    </row>
    <row r="10" spans="1:8" ht="13.25" customHeight="1">
      <c r="A10" s="32"/>
      <c r="B10" s="32"/>
      <c r="C10" s="32"/>
      <c r="D10" s="32"/>
      <c r="E10" s="32"/>
      <c r="F10" s="32"/>
      <c r="G10" s="32"/>
      <c r="H10" s="32"/>
    </row>
    <row r="11" spans="1:8">
      <c r="A11" s="1" t="s">
        <v>140</v>
      </c>
      <c r="B11" s="3">
        <v>10000</v>
      </c>
      <c r="C11" s="1" t="s">
        <v>13</v>
      </c>
      <c r="D11" s="33"/>
      <c r="E11" s="45"/>
      <c r="F11" s="33"/>
      <c r="G11" s="33"/>
      <c r="H11" s="33"/>
    </row>
    <row r="12" spans="1:8">
      <c r="A12" t="s">
        <v>141</v>
      </c>
      <c r="B12" s="49">
        <f>E4*E8</f>
        <v>2250</v>
      </c>
      <c r="D12" s="32"/>
      <c r="E12" s="32"/>
      <c r="F12" s="32"/>
      <c r="G12" s="32"/>
      <c r="H12" s="32"/>
    </row>
    <row r="13" spans="1:8">
      <c r="A13" s="1" t="s">
        <v>142</v>
      </c>
      <c r="B13" s="48">
        <f>E7*E4</f>
        <v>2375</v>
      </c>
      <c r="C13" s="1" t="s">
        <v>13</v>
      </c>
      <c r="D13" s="32"/>
      <c r="E13" s="32"/>
      <c r="F13" s="32"/>
      <c r="G13" s="32"/>
      <c r="H13" s="32"/>
    </row>
    <row r="14" spans="1:8">
      <c r="A14" s="1"/>
      <c r="B14" s="1"/>
      <c r="C14" s="1"/>
      <c r="D14" s="33"/>
      <c r="E14" s="41"/>
      <c r="F14" s="33"/>
      <c r="G14" s="44"/>
      <c r="H14" s="33"/>
    </row>
    <row r="15" spans="1:8">
      <c r="A15" s="2" t="s">
        <v>32</v>
      </c>
      <c r="B15" s="15"/>
      <c r="C15" s="1"/>
      <c r="D15" s="1"/>
      <c r="E15" s="1"/>
      <c r="F15" s="1"/>
      <c r="G15" s="1"/>
      <c r="H15" s="1"/>
    </row>
    <row r="16" spans="1:8" ht="13.25" customHeight="1">
      <c r="A16" s="1"/>
      <c r="B16" s="1"/>
      <c r="C16" s="1"/>
      <c r="D16" s="1"/>
      <c r="E16" s="1"/>
      <c r="F16" s="1"/>
      <c r="G16" s="1"/>
      <c r="H16" s="1"/>
    </row>
    <row r="17" spans="1:8">
      <c r="A17" s="1" t="s">
        <v>33</v>
      </c>
      <c r="B17" s="1"/>
      <c r="C17" s="1"/>
      <c r="D17" s="1"/>
      <c r="E17" s="9"/>
      <c r="F17" s="1"/>
      <c r="G17" s="1"/>
      <c r="H17" s="1"/>
    </row>
    <row r="18" spans="1:8" ht="14.4" customHeight="1">
      <c r="A18" s="1" t="s">
        <v>34</v>
      </c>
      <c r="B18" s="3">
        <v>25</v>
      </c>
      <c r="C18" s="1" t="s">
        <v>6</v>
      </c>
      <c r="D18" s="1"/>
      <c r="E18" s="1"/>
      <c r="F18" s="1"/>
      <c r="G18" s="1"/>
      <c r="H18" s="1"/>
    </row>
    <row r="19" spans="1:8" ht="14.4" customHeight="1">
      <c r="A19" s="1" t="s">
        <v>143</v>
      </c>
      <c r="B19" s="3">
        <v>50</v>
      </c>
      <c r="C19" s="1" t="s">
        <v>11</v>
      </c>
      <c r="D19" s="5" t="s">
        <v>178</v>
      </c>
      <c r="E19" s="1"/>
      <c r="F19" s="1"/>
      <c r="G19" s="1"/>
      <c r="H19" s="1"/>
    </row>
    <row r="20" spans="1:8" ht="14.4" customHeight="1">
      <c r="A20" s="1" t="s">
        <v>37</v>
      </c>
      <c r="B20" s="4">
        <f>0.0496965*B18^3+0.979515*B18^2+46.9035*B18+609.484</f>
        <v>3170.7761875000001</v>
      </c>
      <c r="C20" s="1" t="s">
        <v>38</v>
      </c>
      <c r="D20" s="5" t="s">
        <v>39</v>
      </c>
      <c r="E20" s="1"/>
      <c r="F20" s="1"/>
    </row>
    <row r="21" spans="1:8" ht="14.4" customHeight="1">
      <c r="A21" s="1" t="s">
        <v>176</v>
      </c>
      <c r="B21" s="4">
        <f>B20*B19/100</f>
        <v>1585.3880937500001</v>
      </c>
      <c r="C21" s="1"/>
      <c r="D21" s="5" t="s">
        <v>177</v>
      </c>
      <c r="E21" s="1"/>
      <c r="F21" s="1"/>
    </row>
    <row r="22" spans="1:8" ht="14.4" customHeight="1">
      <c r="A22" s="1" t="s">
        <v>40</v>
      </c>
      <c r="B22" s="16">
        <f>0.622*B19/100*B20/(101325-B19/100*B20)</f>
        <v>9.8868581445794371E-3</v>
      </c>
      <c r="C22" s="1" t="s">
        <v>41</v>
      </c>
      <c r="D22" s="5" t="s">
        <v>42</v>
      </c>
      <c r="E22" s="1"/>
      <c r="F22" s="1"/>
      <c r="G22" s="1"/>
      <c r="H22" s="1"/>
    </row>
    <row r="23" spans="1:8" ht="14.4" customHeight="1">
      <c r="A23" s="1" t="s">
        <v>43</v>
      </c>
      <c r="B23" s="10">
        <f>1.006*B18+B22*(2501+1.805*B18)</f>
        <v>50.323176693367316</v>
      </c>
      <c r="C23" s="1" t="s">
        <v>23</v>
      </c>
      <c r="D23" s="5" t="s">
        <v>144</v>
      </c>
      <c r="E23" s="1"/>
      <c r="F23" s="1"/>
      <c r="G23" s="1"/>
      <c r="H23" s="1"/>
    </row>
    <row r="24" spans="1:8" ht="14.4" customHeight="1">
      <c r="A24" s="1" t="s">
        <v>175</v>
      </c>
      <c r="B24" s="9">
        <f>237.3*LN(B21/610.5)/(17.269-LN(B21/610.5))</f>
        <v>13.880546474146078</v>
      </c>
      <c r="C24" s="1" t="s">
        <v>6</v>
      </c>
      <c r="D24" s="5" t="s">
        <v>109</v>
      </c>
      <c r="E24" s="15"/>
      <c r="F24" s="1"/>
      <c r="G24" s="1"/>
      <c r="H24" s="1"/>
    </row>
    <row r="25" spans="1:8" ht="14.4" customHeight="1">
      <c r="A25" s="1"/>
      <c r="B25" s="1"/>
      <c r="C25" s="1"/>
      <c r="D25" s="5"/>
      <c r="E25" s="15"/>
      <c r="F25" s="1"/>
      <c r="G25" s="1"/>
      <c r="H25" s="1"/>
    </row>
    <row r="26" spans="1:8">
      <c r="A26" s="2" t="s">
        <v>157</v>
      </c>
      <c r="B26" s="1"/>
      <c r="C26" s="1"/>
      <c r="D26" s="1"/>
      <c r="E26" s="1"/>
      <c r="F26" s="1"/>
      <c r="G26" s="1"/>
      <c r="H26" s="1"/>
    </row>
    <row r="27" spans="1:8">
      <c r="A27" s="1" t="s">
        <v>145</v>
      </c>
      <c r="B27" s="50">
        <f>B11+B12</f>
        <v>12250</v>
      </c>
      <c r="C27" s="1" t="s">
        <v>13</v>
      </c>
      <c r="D27" s="1"/>
      <c r="E27" s="1"/>
      <c r="F27" s="1"/>
      <c r="G27" s="1"/>
      <c r="H27" s="1"/>
    </row>
    <row r="28" spans="1:8">
      <c r="A28" s="1" t="s">
        <v>146</v>
      </c>
      <c r="B28" s="50">
        <f>B13</f>
        <v>2375</v>
      </c>
      <c r="C28" s="1" t="s">
        <v>13</v>
      </c>
      <c r="D28" s="1"/>
      <c r="E28" s="1"/>
      <c r="F28" s="1"/>
      <c r="G28" s="1"/>
      <c r="H28" s="1"/>
    </row>
    <row r="29" spans="1:8">
      <c r="A29" s="36" t="s">
        <v>158</v>
      </c>
      <c r="B29" s="8">
        <f>B27+B28</f>
        <v>14625</v>
      </c>
      <c r="C29" s="1" t="s">
        <v>13</v>
      </c>
      <c r="D29" s="18"/>
      <c r="E29" s="15"/>
      <c r="F29" s="1"/>
      <c r="G29" s="1"/>
      <c r="H29" s="1"/>
    </row>
    <row r="30" spans="1:8">
      <c r="A30" s="17" t="s">
        <v>49</v>
      </c>
      <c r="B30" s="10">
        <f>B27/(B27+B28)</f>
        <v>0.83760683760683763</v>
      </c>
      <c r="C30" s="1"/>
      <c r="D30" s="18"/>
      <c r="E30" s="15"/>
      <c r="F30" s="1"/>
      <c r="G30" s="1"/>
      <c r="H30" s="1"/>
    </row>
    <row r="31" spans="1:8">
      <c r="A31" s="1"/>
      <c r="B31" s="15"/>
      <c r="C31" s="1"/>
      <c r="D31" s="1"/>
      <c r="E31" s="1"/>
      <c r="F31" s="1"/>
      <c r="G31" s="1"/>
      <c r="H31" s="1"/>
    </row>
    <row r="32" spans="1:8">
      <c r="A32" s="2" t="s">
        <v>166</v>
      </c>
      <c r="B32" s="15"/>
      <c r="C32" s="1"/>
      <c r="D32" s="1"/>
      <c r="E32" s="1"/>
      <c r="F32" s="1"/>
      <c r="G32" s="1"/>
      <c r="H32" s="1"/>
    </row>
    <row r="33" spans="1:8">
      <c r="A33" s="46" t="s">
        <v>162</v>
      </c>
      <c r="B33" s="15"/>
      <c r="C33" s="1"/>
      <c r="D33" s="1"/>
      <c r="E33" s="1"/>
      <c r="F33" s="1"/>
      <c r="G33" s="1"/>
      <c r="H33" s="1"/>
    </row>
    <row r="34" spans="1:8">
      <c r="A34" s="1" t="s">
        <v>165</v>
      </c>
      <c r="B34" s="8">
        <f>B28/1000/(2501+1.9*$B$18)</f>
        <v>9.3192073768883659E-4</v>
      </c>
      <c r="C34" s="1" t="s">
        <v>20</v>
      </c>
      <c r="D34" s="42" t="s">
        <v>164</v>
      </c>
      <c r="E34" s="32"/>
      <c r="F34" s="33"/>
      <c r="G34" s="33"/>
      <c r="H34" s="1"/>
    </row>
    <row r="35" spans="1:8">
      <c r="A35" s="12" t="s">
        <v>25</v>
      </c>
      <c r="B35" s="8">
        <f>B34/B39</f>
        <v>4.4377177985182687E-3</v>
      </c>
      <c r="D35" s="6" t="s">
        <v>26</v>
      </c>
      <c r="E35" s="32"/>
      <c r="F35" s="33"/>
      <c r="G35" s="33"/>
      <c r="H35" s="1"/>
    </row>
    <row r="36" spans="1:8">
      <c r="A36" s="1" t="s">
        <v>28</v>
      </c>
      <c r="B36" s="13">
        <f>B22-B35</f>
        <v>5.4491403460611683E-3</v>
      </c>
      <c r="C36" s="1"/>
      <c r="D36" s="6" t="s">
        <v>29</v>
      </c>
      <c r="E36" s="1"/>
      <c r="F36" s="1"/>
      <c r="G36" s="1"/>
      <c r="H36" s="1"/>
    </row>
    <row r="37" spans="1:8">
      <c r="A37" s="1" t="s">
        <v>159</v>
      </c>
      <c r="B37" s="3">
        <v>0</v>
      </c>
      <c r="C37" s="1" t="s">
        <v>6</v>
      </c>
      <c r="E37" s="1"/>
      <c r="F37" s="1"/>
      <c r="G37" s="1"/>
      <c r="H37" s="1"/>
    </row>
    <row r="38" spans="1:8">
      <c r="A38" s="1" t="s">
        <v>160</v>
      </c>
      <c r="B38" s="19">
        <f>B18-B37</f>
        <v>25</v>
      </c>
      <c r="C38" s="1" t="s">
        <v>6</v>
      </c>
      <c r="D38" s="1"/>
      <c r="E38" s="1"/>
      <c r="F38" s="1"/>
      <c r="G38" s="1"/>
      <c r="H38" s="1"/>
    </row>
    <row r="39" spans="1:8">
      <c r="A39" s="1" t="s">
        <v>163</v>
      </c>
      <c r="B39" s="39">
        <f>E6</f>
        <v>0.21000000000000002</v>
      </c>
      <c r="C39" s="1" t="s">
        <v>54</v>
      </c>
      <c r="D39" s="5" t="s">
        <v>55</v>
      </c>
      <c r="E39" s="1"/>
      <c r="F39" s="1"/>
      <c r="G39" s="1"/>
      <c r="H39" s="1"/>
    </row>
    <row r="40" spans="1:8">
      <c r="A40" s="1" t="s">
        <v>28</v>
      </c>
      <c r="B40" s="16">
        <f>B36</f>
        <v>5.4491403460611683E-3</v>
      </c>
      <c r="C40" s="1" t="s">
        <v>60</v>
      </c>
      <c r="D40" s="5" t="s">
        <v>42</v>
      </c>
      <c r="E40" s="1"/>
      <c r="F40" s="1"/>
      <c r="G40" s="1"/>
      <c r="H40" s="1"/>
    </row>
    <row r="41" spans="1:8">
      <c r="A41" s="1" t="s">
        <v>58</v>
      </c>
      <c r="B41" s="10">
        <f>(1.006+1.9*B40)*B38+2501*B40</f>
        <v>39.037134171936884</v>
      </c>
      <c r="C41" s="1" t="s">
        <v>61</v>
      </c>
      <c r="D41" s="5" t="s">
        <v>62</v>
      </c>
      <c r="E41" s="1"/>
      <c r="F41" s="1"/>
      <c r="G41" s="1"/>
      <c r="H41" s="1"/>
    </row>
    <row r="42" spans="1:8">
      <c r="A42" s="1" t="s">
        <v>63</v>
      </c>
      <c r="B42" s="4">
        <f>0.0496965*$B$38^3+0.979515*$B$38^2+46.9035*$B$38+609.484</f>
        <v>3170.7761875000001</v>
      </c>
      <c r="C42" s="1" t="s">
        <v>15</v>
      </c>
      <c r="D42" s="5" t="s">
        <v>39</v>
      </c>
      <c r="E42" s="1"/>
      <c r="F42" s="1"/>
      <c r="G42" s="1"/>
      <c r="H42" s="1"/>
    </row>
    <row r="43" spans="1:8">
      <c r="A43" s="1" t="s">
        <v>64</v>
      </c>
      <c r="B43" s="4">
        <f>101325*B40/(0.622+B40)</f>
        <v>879.96637505969909</v>
      </c>
      <c r="C43" s="1" t="s">
        <v>65</v>
      </c>
      <c r="D43" s="5" t="s">
        <v>101</v>
      </c>
      <c r="E43" s="1"/>
      <c r="F43" s="1"/>
      <c r="G43" s="1"/>
      <c r="H43" s="1"/>
    </row>
    <row r="44" spans="1:8">
      <c r="A44" s="1" t="s">
        <v>147</v>
      </c>
      <c r="B44" s="21">
        <f>B43/B42*100</f>
        <v>27.752396354203384</v>
      </c>
      <c r="C44" s="1" t="s">
        <v>11</v>
      </c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2" t="s">
        <v>148</v>
      </c>
      <c r="B46" s="1"/>
      <c r="C46" s="1"/>
      <c r="D46" s="1"/>
      <c r="E46" s="1"/>
      <c r="F46" s="1"/>
      <c r="G46" s="1"/>
      <c r="H46" s="1"/>
    </row>
    <row r="47" spans="1:8">
      <c r="A47" s="31" t="s">
        <v>149</v>
      </c>
      <c r="B47" s="25">
        <f>B40</f>
        <v>5.4491403460611683E-3</v>
      </c>
      <c r="C47" s="1" t="s">
        <v>60</v>
      </c>
      <c r="D47" s="5" t="s">
        <v>104</v>
      </c>
      <c r="E47" s="1"/>
      <c r="F47" s="1"/>
      <c r="G47" s="1"/>
      <c r="H47" s="1"/>
    </row>
    <row r="48" spans="1:8">
      <c r="A48" s="1" t="s">
        <v>150</v>
      </c>
      <c r="B48" s="1">
        <v>100</v>
      </c>
      <c r="C48" s="1" t="s">
        <v>11</v>
      </c>
      <c r="D48" s="5" t="s">
        <v>101</v>
      </c>
      <c r="E48" s="1"/>
      <c r="F48" s="1"/>
      <c r="G48" s="1"/>
      <c r="H48" s="1"/>
    </row>
    <row r="49" spans="1:8">
      <c r="A49" s="1" t="s">
        <v>92</v>
      </c>
      <c r="B49" s="4">
        <f>101325*B47/(0.622+B47)</f>
        <v>879.96637505969909</v>
      </c>
      <c r="C49" s="1" t="s">
        <v>15</v>
      </c>
      <c r="D49" s="5" t="s">
        <v>68</v>
      </c>
      <c r="E49" s="1"/>
      <c r="F49" s="1"/>
      <c r="G49" s="1"/>
      <c r="H49" s="1"/>
    </row>
    <row r="50" spans="1:8">
      <c r="A50" s="32" t="s">
        <v>91</v>
      </c>
      <c r="B50" s="37">
        <f>B49/B48*100</f>
        <v>879.9663750596992</v>
      </c>
      <c r="C50" s="32" t="s">
        <v>15</v>
      </c>
      <c r="D50" s="5" t="s">
        <v>109</v>
      </c>
      <c r="E50" s="1"/>
      <c r="F50" s="1"/>
      <c r="G50" s="1"/>
      <c r="H50" s="1"/>
    </row>
    <row r="51" spans="1:8">
      <c r="A51" s="32" t="s">
        <v>151</v>
      </c>
      <c r="B51" s="38">
        <f>237.3*LN(B49/610.5)/(17.269-LN(B49/610.5))</f>
        <v>5.1325881107374531</v>
      </c>
      <c r="C51" s="32" t="s">
        <v>6</v>
      </c>
      <c r="D51" s="5" t="s">
        <v>62</v>
      </c>
      <c r="E51" s="1"/>
      <c r="F51" s="1"/>
      <c r="G51" s="1"/>
      <c r="H51" s="1"/>
    </row>
    <row r="52" spans="1:8">
      <c r="A52" s="1" t="s">
        <v>152</v>
      </c>
      <c r="B52" s="21">
        <f>1.006*B51+B47*(2501+1.805*B51)</f>
        <v>18.842166233182709</v>
      </c>
      <c r="C52" s="1" t="s">
        <v>23</v>
      </c>
      <c r="D52" s="32"/>
      <c r="E52" s="32"/>
      <c r="F52" s="32"/>
      <c r="G52" s="32"/>
      <c r="H52" s="32"/>
    </row>
    <row r="53" spans="1:8">
      <c r="A53" s="32"/>
      <c r="B53" s="32"/>
      <c r="C53" s="32"/>
      <c r="D53" s="1"/>
      <c r="E53" s="1"/>
      <c r="F53" s="1"/>
      <c r="G53" s="1"/>
      <c r="H53" s="1"/>
    </row>
    <row r="54" spans="1:8">
      <c r="A54" s="2" t="s">
        <v>153</v>
      </c>
      <c r="B54" s="1"/>
      <c r="C54" s="1"/>
      <c r="D54" s="1"/>
      <c r="E54" s="1"/>
      <c r="F54" s="1"/>
      <c r="G54" s="1"/>
      <c r="H54" s="1"/>
    </row>
    <row r="55" spans="1:8">
      <c r="A55" s="1" t="s">
        <v>154</v>
      </c>
      <c r="B55" s="21">
        <f>B39*(B38-B51)</f>
        <v>4.1721564967451359</v>
      </c>
      <c r="C55" s="1" t="s">
        <v>96</v>
      </c>
      <c r="D55" s="1"/>
      <c r="E55" s="1"/>
      <c r="F55" s="1"/>
      <c r="G55" s="1"/>
      <c r="H55" s="1"/>
    </row>
    <row r="56" spans="1:8">
      <c r="A56" s="1"/>
      <c r="B56" s="40"/>
      <c r="C56" s="1"/>
      <c r="D56" s="1"/>
      <c r="E56" s="1"/>
      <c r="F56" s="1"/>
      <c r="G56" s="15"/>
      <c r="H56" s="1"/>
    </row>
    <row r="57" spans="1:8">
      <c r="A57" s="2" t="s">
        <v>155</v>
      </c>
      <c r="B57" s="1"/>
      <c r="C57" s="1"/>
      <c r="D57" s="1"/>
      <c r="E57" s="1"/>
      <c r="F57" s="1"/>
      <c r="G57" s="15"/>
      <c r="H57" s="1"/>
    </row>
    <row r="58" spans="1:8">
      <c r="A58" s="1" t="s">
        <v>98</v>
      </c>
      <c r="B58" s="8">
        <f>B39*(B8-B47)</f>
        <v>2.6293466575577902E-3</v>
      </c>
      <c r="C58" s="1" t="s">
        <v>54</v>
      </c>
      <c r="F58" s="1"/>
      <c r="G58" s="1"/>
      <c r="H58" s="1"/>
    </row>
    <row r="59" spans="1:8">
      <c r="A59" s="1"/>
      <c r="B59" s="15">
        <f>B58*3600</f>
        <v>9.465647967208044</v>
      </c>
      <c r="C59" s="1" t="s">
        <v>71</v>
      </c>
      <c r="D59" s="15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35" t="s">
        <v>161</v>
      </c>
      <c r="B61" s="1"/>
      <c r="C61" s="1"/>
      <c r="D61" s="1"/>
      <c r="E61" s="1"/>
      <c r="F61" s="1"/>
      <c r="G61" s="1"/>
      <c r="H61" s="1"/>
    </row>
    <row r="62" spans="1:8">
      <c r="A62" s="46" t="s">
        <v>170</v>
      </c>
      <c r="B62" s="1"/>
      <c r="C62" s="1"/>
      <c r="D62" s="1"/>
      <c r="E62" s="1"/>
      <c r="F62" s="1"/>
      <c r="G62" s="1"/>
      <c r="H62" s="1"/>
    </row>
    <row r="63" spans="1:8">
      <c r="A63" s="1" t="s">
        <v>145</v>
      </c>
      <c r="B63" s="26">
        <f>B27</f>
        <v>12250</v>
      </c>
      <c r="C63" s="1" t="s">
        <v>13</v>
      </c>
      <c r="D63" s="1"/>
      <c r="E63" s="1"/>
      <c r="F63" s="1"/>
      <c r="G63" s="1"/>
      <c r="H63" s="1"/>
    </row>
    <row r="64" spans="1:8">
      <c r="A64" s="1" t="s">
        <v>171</v>
      </c>
      <c r="B64" s="26">
        <f>B63-B39*(B23-B41)*1000</f>
        <v>9879.9310704996096</v>
      </c>
      <c r="C64" s="1" t="s">
        <v>13</v>
      </c>
      <c r="D64" s="1"/>
      <c r="E64" s="1"/>
      <c r="F64" s="1"/>
      <c r="G64" s="1"/>
      <c r="H64" s="1"/>
    </row>
    <row r="65" spans="1:8">
      <c r="A65" s="1" t="s">
        <v>179</v>
      </c>
      <c r="B65" s="1"/>
      <c r="C65" s="1"/>
      <c r="D65" s="1"/>
      <c r="E65" s="9">
        <f>B24</f>
        <v>13.880546474146078</v>
      </c>
      <c r="F65" s="1" t="s">
        <v>6</v>
      </c>
      <c r="G65" s="1"/>
      <c r="H65" s="1"/>
    </row>
    <row r="66" spans="1:8">
      <c r="A66" s="1" t="s">
        <v>169</v>
      </c>
      <c r="B66" s="1"/>
      <c r="C66" s="1"/>
      <c r="D66" s="1"/>
      <c r="E66" s="1"/>
      <c r="F66" s="1"/>
      <c r="G66" s="1"/>
      <c r="H66" s="1"/>
    </row>
    <row r="67" spans="1:8">
      <c r="A67" s="1" t="s">
        <v>180</v>
      </c>
      <c r="B67" s="1">
        <v>10</v>
      </c>
      <c r="C67" s="1" t="s">
        <v>6</v>
      </c>
      <c r="D67" s="1"/>
      <c r="E67" s="1"/>
      <c r="F67" s="1"/>
      <c r="G67" s="1"/>
      <c r="H67" s="1"/>
    </row>
    <row r="68" spans="1:8">
      <c r="A68" s="1" t="s">
        <v>167</v>
      </c>
      <c r="B68" s="15">
        <f>B64/(4186*B67)</f>
        <v>0.2360231980530246</v>
      </c>
      <c r="C68" s="1" t="s">
        <v>54</v>
      </c>
      <c r="D68" s="46" t="s">
        <v>168</v>
      </c>
      <c r="E68" s="1"/>
      <c r="F68" s="1"/>
      <c r="G68" s="1"/>
      <c r="H68" s="1"/>
    </row>
    <row r="69" spans="1:8">
      <c r="A69" s="1"/>
      <c r="B69" s="15"/>
      <c r="C69" s="1"/>
      <c r="D69" s="1"/>
      <c r="E69" s="1"/>
      <c r="F69" s="1"/>
      <c r="G69" s="1"/>
      <c r="H69" s="1"/>
    </row>
    <row r="70" spans="1:8">
      <c r="A70" s="1"/>
      <c r="B70" s="15"/>
      <c r="C70" s="1"/>
      <c r="D70" s="1"/>
      <c r="E70" s="1"/>
      <c r="F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26"/>
      <c r="C73" s="1"/>
      <c r="D73" s="1"/>
      <c r="E73" s="1"/>
      <c r="F73" s="1"/>
      <c r="G73" s="1"/>
      <c r="H73" s="1"/>
    </row>
    <row r="74" spans="1:8">
      <c r="A74" s="1"/>
      <c r="B74" s="26"/>
      <c r="C74" s="1"/>
      <c r="D74" s="1"/>
      <c r="E74" s="1"/>
      <c r="F74" s="1"/>
      <c r="G74" s="1"/>
      <c r="H74" s="1"/>
    </row>
    <row r="75" spans="1:8">
      <c r="A75" s="1"/>
      <c r="B75" s="9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113" spans="5:7">
      <c r="E113" s="27"/>
    </row>
    <row r="114" spans="5:7">
      <c r="E114" s="28"/>
    </row>
    <row r="115" spans="5:7">
      <c r="E115" s="28"/>
      <c r="G115" s="29"/>
    </row>
  </sheetData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14"/>
  <sheetViews>
    <sheetView tabSelected="1" topLeftCell="A43" zoomScaleNormal="100" workbookViewId="0">
      <selection activeCell="D58" sqref="D58:E58"/>
    </sheetView>
  </sheetViews>
  <sheetFormatPr defaultColWidth="8.6640625" defaultRowHeight="15.05"/>
  <cols>
    <col min="1" max="1" width="19.88671875" customWidth="1"/>
    <col min="2" max="2" width="11.44140625" bestFit="1" customWidth="1"/>
    <col min="3" max="3" width="11.21875" customWidth="1"/>
    <col min="4" max="4" width="13.44140625" customWidth="1"/>
    <col min="5" max="5" width="8.88671875" customWidth="1"/>
    <col min="6" max="6" width="7.88671875" customWidth="1"/>
    <col min="7" max="7" width="7.21875" customWidth="1"/>
    <col min="8" max="8" width="9" customWidth="1"/>
    <col min="9" max="9" width="10.33203125" style="1" customWidth="1"/>
    <col min="10" max="21" width="8.6640625" style="32"/>
  </cols>
  <sheetData>
    <row r="1" spans="1:8">
      <c r="A1" s="2" t="s">
        <v>135</v>
      </c>
      <c r="B1" s="1"/>
      <c r="C1" s="1"/>
      <c r="D1" s="1"/>
      <c r="E1" s="1"/>
      <c r="F1" s="1"/>
      <c r="G1" s="1"/>
      <c r="H1" s="1"/>
    </row>
    <row r="2" spans="1:8" ht="14.4" customHeight="1">
      <c r="A2" s="1"/>
      <c r="B2" s="1"/>
      <c r="C2" s="1"/>
      <c r="D2" s="1"/>
      <c r="E2" s="1"/>
      <c r="F2" s="1"/>
      <c r="G2" s="1"/>
      <c r="H2" s="1"/>
    </row>
    <row r="3" spans="1:8" ht="13.75" customHeight="1">
      <c r="A3" s="2" t="s">
        <v>136</v>
      </c>
      <c r="B3" s="1"/>
      <c r="C3" s="1"/>
      <c r="D3" s="1"/>
      <c r="E3" s="1"/>
      <c r="F3" s="1"/>
      <c r="G3" s="1"/>
      <c r="H3" s="1"/>
    </row>
    <row r="4" spans="1:8">
      <c r="A4" s="35" t="s">
        <v>137</v>
      </c>
      <c r="B4" s="1"/>
      <c r="C4" s="1"/>
      <c r="D4" s="1" t="s">
        <v>3</v>
      </c>
      <c r="E4" s="3">
        <v>25</v>
      </c>
      <c r="F4" s="1" t="s">
        <v>138</v>
      </c>
      <c r="G4" s="1"/>
      <c r="H4" s="1"/>
    </row>
    <row r="5" spans="1:8">
      <c r="A5" s="1" t="s">
        <v>5</v>
      </c>
      <c r="B5" s="3">
        <v>32</v>
      </c>
      <c r="C5" s="1" t="s">
        <v>6</v>
      </c>
      <c r="D5" s="1" t="s">
        <v>7</v>
      </c>
      <c r="E5" s="3">
        <v>7</v>
      </c>
      <c r="F5" s="1" t="s">
        <v>8</v>
      </c>
      <c r="G5" s="1">
        <f>E5*3.6</f>
        <v>25.2</v>
      </c>
      <c r="H5" s="1" t="s">
        <v>9</v>
      </c>
    </row>
    <row r="6" spans="1:8">
      <c r="A6" s="1" t="s">
        <v>139</v>
      </c>
      <c r="B6" s="3">
        <v>60</v>
      </c>
      <c r="C6" s="1" t="s">
        <v>11</v>
      </c>
      <c r="D6" t="s">
        <v>156</v>
      </c>
      <c r="E6" s="47">
        <f>1.2*E5/1000*E4</f>
        <v>0.21000000000000002</v>
      </c>
      <c r="F6" s="32" t="s">
        <v>54</v>
      </c>
      <c r="G6" s="33"/>
      <c r="H6" s="33"/>
    </row>
    <row r="7" spans="1:8">
      <c r="A7" s="1" t="s">
        <v>14</v>
      </c>
      <c r="B7" s="4">
        <f>0.0496965*B5^3+0.979515*B5^2+46.9035*B5+609.484</f>
        <v>4741.874272</v>
      </c>
      <c r="C7" s="1" t="s">
        <v>15</v>
      </c>
      <c r="D7" s="1" t="s">
        <v>12</v>
      </c>
      <c r="E7" s="34">
        <v>95</v>
      </c>
      <c r="F7" s="32"/>
      <c r="G7" s="33"/>
      <c r="H7" s="33"/>
    </row>
    <row r="8" spans="1:8">
      <c r="A8" s="1" t="s">
        <v>17</v>
      </c>
      <c r="B8" s="7">
        <f>0.622*B6/100*B7/(101325-B6/100*B7)</f>
        <v>1.7969838715383976E-2</v>
      </c>
      <c r="C8" s="1" t="s">
        <v>60</v>
      </c>
      <c r="D8" t="s">
        <v>132</v>
      </c>
      <c r="E8" s="32">
        <v>90</v>
      </c>
      <c r="F8" s="33" t="s">
        <v>13</v>
      </c>
      <c r="G8" s="33"/>
      <c r="H8" s="33"/>
    </row>
    <row r="9" spans="1:8">
      <c r="A9" s="1" t="s">
        <v>22</v>
      </c>
      <c r="B9" s="10">
        <f>1.006*B5+B8*(2501+1.805*B5)</f>
        <v>78.172504511375905</v>
      </c>
      <c r="C9" s="1" t="s">
        <v>23</v>
      </c>
      <c r="D9" s="43"/>
      <c r="E9" s="44"/>
      <c r="F9" s="44"/>
      <c r="G9" s="33"/>
      <c r="H9" s="33"/>
    </row>
    <row r="10" spans="1:8" ht="13.25" customHeight="1">
      <c r="A10" s="32"/>
      <c r="B10" s="32"/>
      <c r="C10" s="32"/>
      <c r="D10" s="32"/>
      <c r="E10" s="32"/>
      <c r="F10" s="32"/>
      <c r="G10" s="32"/>
      <c r="H10" s="32"/>
    </row>
    <row r="11" spans="1:8">
      <c r="A11" s="1" t="s">
        <v>140</v>
      </c>
      <c r="B11" s="3">
        <v>10000</v>
      </c>
      <c r="C11" s="1" t="s">
        <v>13</v>
      </c>
      <c r="D11" s="33"/>
      <c r="E11" s="45"/>
      <c r="F11" s="33"/>
      <c r="G11" s="33"/>
      <c r="H11" s="33"/>
    </row>
    <row r="12" spans="1:8">
      <c r="A12" t="s">
        <v>141</v>
      </c>
      <c r="B12" s="49">
        <f>E4*E8</f>
        <v>2250</v>
      </c>
      <c r="D12" s="32"/>
      <c r="E12" s="32"/>
      <c r="F12" s="32"/>
      <c r="G12" s="32"/>
      <c r="H12" s="32"/>
    </row>
    <row r="13" spans="1:8">
      <c r="A13" s="1" t="s">
        <v>142</v>
      </c>
      <c r="B13" s="48">
        <f>E7*E4</f>
        <v>2375</v>
      </c>
      <c r="C13" s="1" t="s">
        <v>13</v>
      </c>
      <c r="D13" s="32"/>
      <c r="E13" s="32"/>
      <c r="F13" s="32"/>
      <c r="G13" s="32"/>
      <c r="H13" s="32"/>
    </row>
    <row r="14" spans="1:8">
      <c r="A14" s="1"/>
      <c r="B14" s="1"/>
      <c r="C14" s="1"/>
      <c r="D14" s="33"/>
      <c r="E14" s="41"/>
      <c r="F14" s="33"/>
      <c r="G14" s="44"/>
      <c r="H14" s="33"/>
    </row>
    <row r="15" spans="1:8">
      <c r="A15" s="2" t="s">
        <v>32</v>
      </c>
      <c r="B15" s="15"/>
      <c r="C15" s="1"/>
      <c r="D15" s="1"/>
      <c r="E15" s="1"/>
      <c r="F15" s="1"/>
      <c r="G15" s="1"/>
      <c r="H15" s="1"/>
    </row>
    <row r="16" spans="1:8" ht="13.25" customHeight="1">
      <c r="A16" s="1"/>
      <c r="B16" s="1"/>
      <c r="C16" s="1"/>
      <c r="D16" s="1"/>
      <c r="E16" s="1"/>
      <c r="F16" s="1"/>
      <c r="G16" s="1"/>
      <c r="H16" s="1"/>
    </row>
    <row r="17" spans="1:21">
      <c r="A17" s="1" t="s">
        <v>33</v>
      </c>
      <c r="B17" s="1"/>
      <c r="C17" s="1"/>
      <c r="D17" s="1"/>
      <c r="E17" s="9"/>
      <c r="F17" s="1"/>
      <c r="G17" s="1"/>
      <c r="H17" s="1"/>
    </row>
    <row r="18" spans="1:21" ht="14.4" customHeight="1">
      <c r="A18" s="1" t="s">
        <v>34</v>
      </c>
      <c r="B18" s="3">
        <v>25</v>
      </c>
      <c r="C18" s="1" t="s">
        <v>6</v>
      </c>
      <c r="D18" s="1"/>
      <c r="E18" s="1"/>
      <c r="F18" s="1"/>
      <c r="G18" s="1"/>
      <c r="H18" s="1"/>
    </row>
    <row r="19" spans="1:21" ht="14.4" customHeight="1">
      <c r="A19" s="1" t="s">
        <v>143</v>
      </c>
      <c r="B19" s="3">
        <v>50</v>
      </c>
      <c r="C19" s="1" t="s">
        <v>11</v>
      </c>
      <c r="D19" s="43" t="s">
        <v>36</v>
      </c>
      <c r="E19" s="33"/>
      <c r="F19" s="33"/>
      <c r="G19" s="33"/>
      <c r="H19" s="33"/>
      <c r="I19" s="33"/>
    </row>
    <row r="20" spans="1:21" s="1" customFormat="1" ht="14.4" customHeight="1">
      <c r="A20" s="1" t="s">
        <v>37</v>
      </c>
      <c r="B20" s="4">
        <f>0.0496965*B18^3+0.979515*B18^2+46.9035*B18+609.484</f>
        <v>3170.7761875000001</v>
      </c>
      <c r="C20" s="1" t="s">
        <v>38</v>
      </c>
      <c r="D20" s="43" t="s">
        <v>39</v>
      </c>
      <c r="E20" s="33"/>
      <c r="F20" s="33"/>
      <c r="G20" s="32"/>
      <c r="H20" s="32"/>
      <c r="I20" s="33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s="1" customFormat="1" ht="14.4" customHeight="1">
      <c r="A21" s="1" t="s">
        <v>176</v>
      </c>
      <c r="B21" s="4">
        <f>B20*B19/100</f>
        <v>1585.3880937500001</v>
      </c>
      <c r="D21" s="43" t="s">
        <v>177</v>
      </c>
      <c r="E21" s="33"/>
      <c r="F21" s="33"/>
      <c r="G21" s="32"/>
      <c r="H21" s="32"/>
      <c r="I21" s="33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1" customFormat="1" ht="14.4" customHeight="1">
      <c r="A22" s="1" t="s">
        <v>40</v>
      </c>
      <c r="B22" s="16">
        <f>0.622*B19/100*B20/(101325-B19/100*B20)</f>
        <v>9.8868581445794371E-3</v>
      </c>
      <c r="C22" s="1" t="s">
        <v>41</v>
      </c>
      <c r="D22" s="43" t="s">
        <v>42</v>
      </c>
      <c r="E22" s="33"/>
      <c r="F22" s="33"/>
      <c r="G22" s="33"/>
      <c r="H22" s="33"/>
      <c r="I22" s="33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s="1" customFormat="1" ht="14.4" customHeight="1">
      <c r="A23" s="1" t="s">
        <v>43</v>
      </c>
      <c r="B23" s="10">
        <f>1.006*B18+B22*(2501+1.805*B18)</f>
        <v>50.323176693367316</v>
      </c>
      <c r="C23" s="1" t="s">
        <v>23</v>
      </c>
      <c r="D23" s="43" t="s">
        <v>144</v>
      </c>
      <c r="E23" s="33"/>
      <c r="F23" s="33"/>
      <c r="G23" s="33"/>
      <c r="H23" s="33"/>
      <c r="I23" s="33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s="1" customFormat="1" ht="14.4" customHeight="1">
      <c r="A24" s="1" t="s">
        <v>175</v>
      </c>
      <c r="B24" s="9">
        <f>237.3*LN(B21/610.5)/(17.269-LN(B21/610.5))</f>
        <v>13.880546474146078</v>
      </c>
      <c r="C24" s="1" t="s">
        <v>6</v>
      </c>
      <c r="D24" s="43" t="s">
        <v>109</v>
      </c>
      <c r="E24" s="33"/>
      <c r="F24" s="33"/>
      <c r="G24" s="33"/>
      <c r="H24" s="33"/>
      <c r="I24" s="33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1" customFormat="1" ht="14.4" customHeight="1">
      <c r="E25" s="15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s="1" customFormat="1">
      <c r="A26" s="2" t="s">
        <v>157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s="1" customFormat="1">
      <c r="A27" s="1" t="s">
        <v>145</v>
      </c>
      <c r="B27" s="50">
        <f>B11+B12</f>
        <v>12250</v>
      </c>
      <c r="C27" s="1" t="s">
        <v>13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s="1" customFormat="1">
      <c r="A28" s="1" t="s">
        <v>146</v>
      </c>
      <c r="B28" s="50">
        <f>B13</f>
        <v>2375</v>
      </c>
      <c r="C28" s="1" t="s">
        <v>13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s="1" customFormat="1">
      <c r="A29" s="36" t="s">
        <v>158</v>
      </c>
      <c r="B29" s="8">
        <f>B27+B28</f>
        <v>14625</v>
      </c>
      <c r="C29" s="1" t="s">
        <v>13</v>
      </c>
      <c r="D29" s="18"/>
      <c r="E29" s="15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s="1" customFormat="1">
      <c r="A30" s="17" t="s">
        <v>49</v>
      </c>
      <c r="B30" s="10">
        <f>B27/(B27+B28)</f>
        <v>0.83760683760683763</v>
      </c>
      <c r="D30" s="18"/>
      <c r="E30" s="15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s="1" customFormat="1">
      <c r="B31" s="15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1" customFormat="1">
      <c r="A32" s="2" t="s">
        <v>172</v>
      </c>
      <c r="B32" s="15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s="1" customFormat="1">
      <c r="A33" s="46" t="s">
        <v>162</v>
      </c>
      <c r="B33" s="15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1" customFormat="1">
      <c r="A34" s="1" t="s">
        <v>165</v>
      </c>
      <c r="B34" s="8">
        <f>B28/1000/(2501+1.9*$B$18)</f>
        <v>9.3192073768883659E-4</v>
      </c>
      <c r="C34" s="1" t="s">
        <v>20</v>
      </c>
      <c r="D34" s="42" t="s">
        <v>164</v>
      </c>
      <c r="E34" s="32"/>
      <c r="F34" s="33"/>
      <c r="G34" s="33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1" customFormat="1">
      <c r="A35" s="12" t="s">
        <v>25</v>
      </c>
      <c r="B35" s="8">
        <f>B34/B39</f>
        <v>4.4377177985182687E-3</v>
      </c>
      <c r="C35"/>
      <c r="D35" s="6" t="s">
        <v>26</v>
      </c>
      <c r="E35" s="32"/>
      <c r="F35" s="33"/>
      <c r="G35" s="33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s="1" customFormat="1">
      <c r="A36" s="1" t="s">
        <v>28</v>
      </c>
      <c r="B36" s="13">
        <f>B22-B35</f>
        <v>5.4491403460611683E-3</v>
      </c>
      <c r="D36" s="6" t="s">
        <v>174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s="1" customFormat="1">
      <c r="A37" s="1" t="s">
        <v>159</v>
      </c>
      <c r="B37" s="3">
        <v>0</v>
      </c>
      <c r="C37" s="1" t="s">
        <v>6</v>
      </c>
      <c r="D3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1" customFormat="1">
      <c r="A38" s="1" t="s">
        <v>173</v>
      </c>
      <c r="B38" s="19">
        <v>15</v>
      </c>
      <c r="C38" s="1" t="s">
        <v>6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1" customFormat="1">
      <c r="A39" s="1" t="s">
        <v>163</v>
      </c>
      <c r="B39" s="39">
        <f>E6</f>
        <v>0.21000000000000002</v>
      </c>
      <c r="C39" s="1" t="s">
        <v>54</v>
      </c>
      <c r="D39" s="5" t="s">
        <v>55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1" customFormat="1">
      <c r="A40" s="1" t="s">
        <v>28</v>
      </c>
      <c r="B40" s="16">
        <f>B36</f>
        <v>5.4491403460611683E-3</v>
      </c>
      <c r="C40" s="1" t="s">
        <v>60</v>
      </c>
      <c r="D40" s="5" t="s">
        <v>42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1" customFormat="1">
      <c r="A41" s="1" t="s">
        <v>58</v>
      </c>
      <c r="B41" s="10">
        <f>(1.006+1.9*B40)*B38+2501*B40</f>
        <v>28.873600505361726</v>
      </c>
      <c r="C41" s="1" t="s">
        <v>61</v>
      </c>
      <c r="D41" s="5" t="s">
        <v>62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1" customFormat="1">
      <c r="A42" s="1" t="s">
        <v>63</v>
      </c>
      <c r="B42" s="4">
        <f>0.0496965*$B$38^3+0.979515*$B$38^2+46.9035*$B$38+609.484</f>
        <v>1701.1530625</v>
      </c>
      <c r="C42" s="1" t="s">
        <v>15</v>
      </c>
      <c r="D42" s="5" t="s">
        <v>39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s="1" customFormat="1">
      <c r="A43" s="1" t="s">
        <v>64</v>
      </c>
      <c r="B43" s="4">
        <f>101325*B40/(0.622+B40)</f>
        <v>879.96637505969909</v>
      </c>
      <c r="C43" s="1" t="s">
        <v>65</v>
      </c>
      <c r="D43" s="5" t="s">
        <v>101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s="1" customFormat="1">
      <c r="A44" s="1" t="s">
        <v>147</v>
      </c>
      <c r="B44" s="21">
        <f>B43/B42*100</f>
        <v>51.727642530091209</v>
      </c>
      <c r="C44" s="1" t="s">
        <v>11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s="1" customFormat="1"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s="1" customFormat="1">
      <c r="A46" s="2" t="s">
        <v>148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s="1" customFormat="1">
      <c r="A47" s="31" t="s">
        <v>149</v>
      </c>
      <c r="B47" s="25">
        <f>B40</f>
        <v>5.4491403460611683E-3</v>
      </c>
      <c r="C47" s="1" t="s">
        <v>60</v>
      </c>
      <c r="D47" s="5" t="s">
        <v>104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s="1" customFormat="1">
      <c r="A48" s="1" t="s">
        <v>150</v>
      </c>
      <c r="B48" s="1">
        <v>100</v>
      </c>
      <c r="C48" s="1" t="s">
        <v>11</v>
      </c>
      <c r="D48" s="5" t="s">
        <v>101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s="1" customFormat="1">
      <c r="A49" s="1" t="s">
        <v>92</v>
      </c>
      <c r="B49" s="4">
        <f>101325*B47/(0.622+B47)</f>
        <v>879.96637505969909</v>
      </c>
      <c r="C49" s="1" t="s">
        <v>15</v>
      </c>
      <c r="D49" s="5" t="s">
        <v>68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s="1" customFormat="1">
      <c r="A50" s="32" t="s">
        <v>91</v>
      </c>
      <c r="B50" s="37">
        <f>B49/B48*100</f>
        <v>879.9663750596992</v>
      </c>
      <c r="C50" s="32" t="s">
        <v>15</v>
      </c>
      <c r="D50" s="5" t="s">
        <v>109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s="1" customFormat="1">
      <c r="A51" s="32" t="s">
        <v>151</v>
      </c>
      <c r="B51" s="38">
        <f>237.3*LN(B49/610.5)/(17.269-LN(B49/610.5))</f>
        <v>5.1325881107374531</v>
      </c>
      <c r="C51" s="32" t="s">
        <v>6</v>
      </c>
      <c r="D51" s="5" t="s">
        <v>62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s="1" customFormat="1">
      <c r="A52" s="1" t="s">
        <v>152</v>
      </c>
      <c r="B52" s="21">
        <f>1.006*B51+B47*(2501+1.805*B51)</f>
        <v>18.842166233182709</v>
      </c>
      <c r="C52" s="1" t="s">
        <v>23</v>
      </c>
      <c r="D52" s="32"/>
      <c r="E52" s="32"/>
      <c r="F52" s="32"/>
      <c r="G52" s="32"/>
      <c r="H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s="1" customFormat="1">
      <c r="A53" s="32"/>
      <c r="B53" s="32"/>
      <c r="C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s="1" customFormat="1">
      <c r="A54" s="2" t="s">
        <v>153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s="1" customFormat="1">
      <c r="A55" s="1" t="s">
        <v>154</v>
      </c>
      <c r="B55" s="21">
        <f>B39*(B38-B51)</f>
        <v>2.0721564967451349</v>
      </c>
      <c r="C55" s="1" t="s">
        <v>96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s="1" customFormat="1">
      <c r="B56" s="40"/>
      <c r="G56" s="15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s="1" customFormat="1">
      <c r="A57" s="2" t="s">
        <v>155</v>
      </c>
      <c r="G57" s="15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s="1" customFormat="1">
      <c r="A58" s="1" t="s">
        <v>98</v>
      </c>
      <c r="B58" s="8">
        <f>B39*(B8-B47)</f>
        <v>2.6293466575577902E-3</v>
      </c>
      <c r="C58" s="1" t="s">
        <v>54</v>
      </c>
      <c r="D58" s="32"/>
      <c r="E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s="1" customFormat="1">
      <c r="B59" s="15">
        <f>B58*3600</f>
        <v>9.465647967208044</v>
      </c>
      <c r="C59" s="1" t="s">
        <v>71</v>
      </c>
      <c r="D59" s="15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s="1" customFormat="1"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1" customFormat="1">
      <c r="A61" s="35" t="s">
        <v>161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1" customFormat="1">
      <c r="A62" s="46" t="s">
        <v>170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1" customFormat="1">
      <c r="A63" s="1" t="s">
        <v>145</v>
      </c>
      <c r="B63" s="26">
        <f>B27</f>
        <v>12250</v>
      </c>
      <c r="C63" s="1" t="s">
        <v>13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1" customFormat="1">
      <c r="A64" s="1" t="s">
        <v>171</v>
      </c>
      <c r="B64" s="26">
        <f>B63-B39*(B23-B41)*1000</f>
        <v>7745.5890005188257</v>
      </c>
      <c r="C64" s="1" t="s">
        <v>13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s="1" customFormat="1">
      <c r="A65" s="1" t="s">
        <v>179</v>
      </c>
      <c r="E65" s="9">
        <f>B24</f>
        <v>13.880546474146078</v>
      </c>
      <c r="F65" s="1" t="s">
        <v>6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s="1" customFormat="1">
      <c r="A66" s="1" t="s">
        <v>169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s="1" customFormat="1">
      <c r="A67" s="1" t="s">
        <v>180</v>
      </c>
      <c r="B67" s="1">
        <v>10</v>
      </c>
      <c r="C67" s="1" t="s">
        <v>6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s="1" customFormat="1">
      <c r="A68" s="1" t="s">
        <v>167</v>
      </c>
      <c r="B68" s="15">
        <f>B64/(4186*B67)</f>
        <v>0.18503557096318266</v>
      </c>
      <c r="C68" s="1" t="s">
        <v>54</v>
      </c>
      <c r="D68" s="46" t="s">
        <v>168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s="1" customFormat="1">
      <c r="B69" s="15"/>
      <c r="G69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s="1" customFormat="1"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s="1" customFormat="1"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s="1" customFormat="1">
      <c r="B72" s="26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s="1" customFormat="1">
      <c r="B73" s="26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s="1" customFormat="1">
      <c r="B74" s="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s="1" customFormat="1"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s="1" customFormat="1"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s="1" customFormat="1"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112" spans="5:5">
      <c r="E112" s="27"/>
    </row>
    <row r="113" spans="5:7">
      <c r="E113" s="28"/>
    </row>
    <row r="114" spans="5:7">
      <c r="E114" s="28"/>
      <c r="G114" s="29"/>
    </row>
  </sheetData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LibreOffice/7.2.2.2$Windows_X86_64 LibreOffice_project/02b2acce88a210515b4a5bb2e46cbfb63fe97d56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Inverno 1</vt:lpstr>
      <vt:lpstr>Inverno 2</vt:lpstr>
      <vt:lpstr>Inverno 3</vt:lpstr>
      <vt:lpstr>Inverno dic22</vt:lpstr>
      <vt:lpstr>Inverno Verifica</vt:lpstr>
      <vt:lpstr>Estivo primaria</vt:lpstr>
      <vt:lpstr>Estivo primaria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Ryzen5700u</cp:lastModifiedBy>
  <cp:revision>17</cp:revision>
  <cp:lastPrinted>2022-11-12T07:15:58Z</cp:lastPrinted>
  <dcterms:created xsi:type="dcterms:W3CDTF">2020-11-17T10:40:44Z</dcterms:created>
  <dcterms:modified xsi:type="dcterms:W3CDTF">2023-01-12T08:42:36Z</dcterms:modified>
  <dc:language>it-IT</dc:language>
</cp:coreProperties>
</file>